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G:\Case\NYISO DCR 32249\Analysis\Models for Stakeholders\2020.05.08 NYISO_Fossil_Model_Update\Shared Inputs\"/>
    </mc:Choice>
  </mc:AlternateContent>
  <bookViews>
    <workbookView xWindow="0" yWindow="0" windowWidth="16410" windowHeight="8565" activeTab="1"/>
  </bookViews>
  <sheets>
    <sheet name="MODEL INPUTS -&gt;" sheetId="50" r:id="rId1"/>
    <sheet name="gen_params_CTs_reserves" sheetId="42" r:id="rId2"/>
    <sheet name="CTs_runtimes_scr" sheetId="64" r:id="rId3"/>
    <sheet name="nox_limits" sheetId="73" r:id="rId4"/>
    <sheet name="tech_params_aero" sheetId="25" r:id="rId5"/>
    <sheet name="tech_params_aero_noscr" sheetId="75" r:id="rId6"/>
    <sheet name="tech_params_f" sheetId="28" r:id="rId7"/>
    <sheet name="tech_params_f_noscr" sheetId="41" r:id="rId8"/>
    <sheet name="tech_params_j25" sheetId="33" r:id="rId9"/>
    <sheet name="tech_params_j25_noscr" sheetId="52" r:id="rId10"/>
    <sheet name="tech_params_j15" sheetId="70" r:id="rId11"/>
    <sheet name="tech_params_j15_noscr" sheetId="71" r:id="rId12"/>
    <sheet name="tech_params_ccj" sheetId="35" r:id="rId13"/>
    <sheet name="FILTERED INPUTS -&gt;" sheetId="49" r:id="rId14"/>
    <sheet name="Aero_NoSCR_Filtered" sheetId="62" r:id="rId15"/>
    <sheet name="Aero_SCR_Filtered" sheetId="61" r:id="rId16"/>
    <sheet name="F-Class_NoSCR_Filtered" sheetId="60" r:id="rId17"/>
    <sheet name="F-Class_SCR_Filtered" sheetId="54" r:id="rId18"/>
    <sheet name="J-Class25ppm_NoSCR_Filtered" sheetId="51" r:id="rId19"/>
    <sheet name="J-Class25ppm_SCR_Filtered" sheetId="32" r:id="rId20"/>
    <sheet name="J-Class15ppm_NoSCR_Filtered" sheetId="68" r:id="rId21"/>
    <sheet name="J-Class15ppm_SCR_Filtered" sheetId="69" r:id="rId22"/>
    <sheet name="J-Class_CC_Filtered" sheetId="63" r:id="rId23"/>
    <sheet name="B&amp;M DATA -&gt;" sheetId="48" r:id="rId24"/>
    <sheet name="Raw_Aeroderivative" sheetId="56" r:id="rId25"/>
    <sheet name="Raw_F-Class" sheetId="53" r:id="rId26"/>
    <sheet name="Raw_J-Class25ppm" sheetId="46" r:id="rId27"/>
    <sheet name="Raw_J-Class15ppm" sheetId="67" r:id="rId28"/>
    <sheet name="Raw_J-Class_CC" sheetId="57" r:id="rId29"/>
    <sheet name="SCR_Limits" sheetId="72" r:id="rId30"/>
  </sheets>
  <externalReferences>
    <externalReference r:id="rId31"/>
    <externalReference r:id="rId32"/>
  </externalReference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5">Aero_SCR_Filtered!$E$4:$L$38</definedName>
    <definedName name="_xlnm.Print_Area" localSheetId="16">'F-Class_NoSCR_Filtered'!$F$4:$M$38</definedName>
    <definedName name="_xlnm.Print_Area" localSheetId="17">'F-Class_SCR_Filtered'!$E$4:$L$38</definedName>
    <definedName name="_xlnm.Print_Area" localSheetId="22">'J-Class_CC_Filtered'!$E$4:$L$46</definedName>
    <definedName name="_xlnm.Print_Area" localSheetId="20">'J-Class15ppm_NoSCR_Filtered'!$F$4:$J$38</definedName>
    <definedName name="_xlnm.Print_Area" localSheetId="21">'J-Class15ppm_SCR_Filtered'!$E$4:$I$38</definedName>
    <definedName name="_xlnm.Print_Area" localSheetId="18">'J-Class25ppm_NoSCR_Filtered'!$F$4:$M$38</definedName>
    <definedName name="_xlnm.Print_Area" localSheetId="19">'J-Class25ppm_SCR_Filtered'!$E$4:$L$38</definedName>
  </definedNames>
  <calcPr calcId="162913"/>
</workbook>
</file>

<file path=xl/calcChain.xml><?xml version="1.0" encoding="utf-8"?>
<calcChain xmlns="http://schemas.openxmlformats.org/spreadsheetml/2006/main">
  <c r="J7" i="75" l="1"/>
  <c r="J6" i="75"/>
  <c r="J5" i="75"/>
  <c r="J4" i="75"/>
  <c r="J3" i="75"/>
  <c r="J2" i="75"/>
  <c r="J7" i="25"/>
  <c r="J6" i="25"/>
  <c r="J5" i="25"/>
  <c r="J4" i="25"/>
  <c r="J3" i="25"/>
  <c r="J2" i="25"/>
  <c r="H2" i="62"/>
  <c r="I2" i="62"/>
  <c r="J2" i="62"/>
  <c r="K2" i="62"/>
  <c r="L2" i="62"/>
  <c r="M2" i="62"/>
  <c r="H37" i="62"/>
  <c r="L36" i="62"/>
  <c r="J37" i="62"/>
  <c r="H9" i="62"/>
  <c r="J12" i="62"/>
  <c r="L13" i="62"/>
  <c r="H17" i="62"/>
  <c r="J18" i="62"/>
  <c r="J24" i="62"/>
  <c r="L25" i="62"/>
  <c r="M24" i="62"/>
  <c r="M8" i="62"/>
  <c r="I18" i="62"/>
  <c r="M38" i="62"/>
  <c r="K37" i="62"/>
  <c r="H36" i="62"/>
  <c r="I9" i="62"/>
  <c r="K12" i="62"/>
  <c r="M13" i="62"/>
  <c r="I17" i="62"/>
  <c r="K18" i="62"/>
  <c r="K24" i="62"/>
  <c r="M25" i="62"/>
  <c r="I26" i="62"/>
  <c r="L34" i="62"/>
  <c r="L38" i="62"/>
  <c r="K25" i="62"/>
  <c r="M39" i="62"/>
  <c r="K39" i="62"/>
  <c r="I39" i="62"/>
  <c r="H8" i="62"/>
  <c r="J9" i="62"/>
  <c r="L12" i="62"/>
  <c r="H16" i="62"/>
  <c r="J17" i="62"/>
  <c r="L18" i="62"/>
  <c r="L24" i="62"/>
  <c r="H26" i="62"/>
  <c r="H34" i="62"/>
  <c r="J25" i="62"/>
  <c r="I24" i="62"/>
  <c r="K38" i="62"/>
  <c r="I38" i="62"/>
  <c r="M37" i="62"/>
  <c r="I8" i="62"/>
  <c r="K9" i="62"/>
  <c r="M12" i="62"/>
  <c r="I16" i="62"/>
  <c r="K17" i="62"/>
  <c r="M18" i="62"/>
  <c r="I34" i="62"/>
  <c r="K13" i="62"/>
  <c r="I37" i="62"/>
  <c r="M36" i="62"/>
  <c r="K36" i="62"/>
  <c r="J8" i="62"/>
  <c r="L9" i="62"/>
  <c r="H13" i="62"/>
  <c r="J16" i="62"/>
  <c r="L17" i="62"/>
  <c r="H25" i="62"/>
  <c r="J26" i="62"/>
  <c r="J34" i="62"/>
  <c r="L16" i="62"/>
  <c r="L26" i="62"/>
  <c r="I12" i="62"/>
  <c r="L37" i="62"/>
  <c r="J36" i="62"/>
  <c r="H39" i="62"/>
  <c r="K8" i="62"/>
  <c r="M9" i="62"/>
  <c r="I13" i="62"/>
  <c r="K16" i="62"/>
  <c r="M17" i="62"/>
  <c r="I25" i="62"/>
  <c r="K26" i="62"/>
  <c r="K34" i="62"/>
  <c r="H24" i="62"/>
  <c r="J38" i="62"/>
  <c r="M16" i="62"/>
  <c r="M34" i="62"/>
  <c r="L39" i="62"/>
  <c r="J39" i="62"/>
  <c r="I36" i="62"/>
  <c r="L8" i="62"/>
  <c r="H12" i="62"/>
  <c r="J13" i="62"/>
  <c r="H18" i="62"/>
  <c r="H38" i="62"/>
  <c r="M26" i="62"/>
  <c r="K7" i="75" l="1"/>
  <c r="K6" i="75"/>
  <c r="K5" i="75"/>
  <c r="K4" i="75"/>
  <c r="K3" i="75"/>
  <c r="K2" i="75"/>
  <c r="I7" i="75"/>
  <c r="I6" i="75"/>
  <c r="I5" i="75"/>
  <c r="I4" i="75"/>
  <c r="I3" i="75"/>
  <c r="I2" i="75"/>
  <c r="F7" i="75"/>
  <c r="F6" i="75"/>
  <c r="F5" i="75"/>
  <c r="F4" i="75"/>
  <c r="F3" i="75"/>
  <c r="F2" i="75"/>
  <c r="E7" i="75"/>
  <c r="E6" i="75"/>
  <c r="E5" i="75"/>
  <c r="E4" i="75"/>
  <c r="E3" i="75"/>
  <c r="E2" i="75"/>
  <c r="X7" i="75"/>
  <c r="X6" i="75"/>
  <c r="X5" i="75"/>
  <c r="X4" i="75"/>
  <c r="X3" i="75"/>
  <c r="X2" i="75"/>
  <c r="W7" i="75"/>
  <c r="W6" i="75"/>
  <c r="W5" i="75"/>
  <c r="W4" i="75"/>
  <c r="W3" i="75"/>
  <c r="W2" i="75"/>
  <c r="V7" i="75"/>
  <c r="V6" i="75"/>
  <c r="V5" i="75"/>
  <c r="V4" i="75"/>
  <c r="V3" i="75"/>
  <c r="V2" i="75"/>
  <c r="U7" i="75"/>
  <c r="U6" i="75"/>
  <c r="U5" i="75"/>
  <c r="U4" i="75"/>
  <c r="U3" i="75"/>
  <c r="U2" i="75"/>
  <c r="T7" i="75"/>
  <c r="T6" i="75"/>
  <c r="T5" i="75"/>
  <c r="T4" i="75"/>
  <c r="T3" i="75"/>
  <c r="T2" i="75"/>
  <c r="S7" i="75"/>
  <c r="S6" i="75"/>
  <c r="S5" i="75"/>
  <c r="S4" i="75"/>
  <c r="S3" i="75"/>
  <c r="S2" i="75"/>
  <c r="R7" i="75"/>
  <c r="R6" i="75"/>
  <c r="R5" i="75"/>
  <c r="R4" i="75"/>
  <c r="R3" i="75"/>
  <c r="R2" i="75"/>
  <c r="Q7" i="75"/>
  <c r="Q6" i="75"/>
  <c r="Q5" i="75"/>
  <c r="Q4" i="75"/>
  <c r="Q3" i="75"/>
  <c r="Q2" i="75"/>
  <c r="P7" i="75"/>
  <c r="P6" i="75"/>
  <c r="P5" i="75"/>
  <c r="P4" i="75"/>
  <c r="P3" i="75"/>
  <c r="P2" i="75"/>
  <c r="O7" i="75"/>
  <c r="O6" i="75"/>
  <c r="O5" i="75"/>
  <c r="O4" i="75"/>
  <c r="O3" i="75"/>
  <c r="O2" i="75"/>
  <c r="N7" i="75"/>
  <c r="N6" i="75"/>
  <c r="N5" i="75"/>
  <c r="N4" i="75"/>
  <c r="N3" i="75"/>
  <c r="N2" i="75"/>
  <c r="M7" i="75"/>
  <c r="M6" i="75"/>
  <c r="M5" i="75"/>
  <c r="M4" i="75"/>
  <c r="M3" i="75"/>
  <c r="M2" i="75"/>
  <c r="L7" i="75"/>
  <c r="L6" i="75"/>
  <c r="L5" i="75"/>
  <c r="L4" i="75"/>
  <c r="L3" i="75"/>
  <c r="L2" i="75"/>
  <c r="D7" i="75"/>
  <c r="D6" i="75"/>
  <c r="D5" i="75"/>
  <c r="D4" i="75"/>
  <c r="D3" i="75"/>
  <c r="D2" i="75"/>
  <c r="C7" i="75"/>
  <c r="C6" i="75"/>
  <c r="C5" i="75"/>
  <c r="C4" i="75"/>
  <c r="C3" i="75"/>
  <c r="C2" i="75"/>
  <c r="H7" i="75"/>
  <c r="H6" i="75"/>
  <c r="H5" i="75"/>
  <c r="H4" i="75"/>
  <c r="H3" i="75"/>
  <c r="H2" i="75"/>
  <c r="G7" i="75"/>
  <c r="G6" i="75"/>
  <c r="G5" i="75"/>
  <c r="G4" i="75"/>
  <c r="G3" i="75"/>
  <c r="G2" i="75"/>
  <c r="I2" i="68"/>
  <c r="J2" i="68"/>
  <c r="J29" i="62"/>
  <c r="I21" i="62"/>
  <c r="H30" i="62"/>
  <c r="M30" i="62"/>
  <c r="L29" i="62"/>
  <c r="I12" i="68"/>
  <c r="J8" i="68"/>
  <c r="I36" i="68"/>
  <c r="J13" i="68"/>
  <c r="I16" i="68"/>
  <c r="J30" i="62"/>
  <c r="I29" i="62"/>
  <c r="H29" i="62"/>
  <c r="M20" i="62"/>
  <c r="L22" i="62"/>
  <c r="I18" i="68"/>
  <c r="I37" i="68"/>
  <c r="J26" i="68"/>
  <c r="J34" i="68"/>
  <c r="J37" i="68"/>
  <c r="J22" i="62"/>
  <c r="I20" i="62"/>
  <c r="K22" i="62"/>
  <c r="M21" i="62"/>
  <c r="L28" i="62"/>
  <c r="I34" i="68"/>
  <c r="J17" i="68"/>
  <c r="I24" i="68"/>
  <c r="I25" i="68"/>
  <c r="J9" i="68"/>
  <c r="J28" i="62"/>
  <c r="I30" i="62"/>
  <c r="K30" i="62"/>
  <c r="M29" i="62"/>
  <c r="L21" i="62"/>
  <c r="J18" i="68"/>
  <c r="J24" i="68"/>
  <c r="I26" i="68"/>
  <c r="I8" i="68"/>
  <c r="I13" i="68"/>
  <c r="J36" i="68"/>
  <c r="J21" i="62"/>
  <c r="H22" i="62"/>
  <c r="K29" i="62"/>
  <c r="M22" i="62"/>
  <c r="I38" i="68"/>
  <c r="I17" i="68"/>
  <c r="J20" i="62"/>
  <c r="H28" i="62"/>
  <c r="K28" i="62"/>
  <c r="M28" i="62"/>
  <c r="J16" i="68"/>
  <c r="I28" i="62"/>
  <c r="H21" i="62"/>
  <c r="K21" i="62"/>
  <c r="L20" i="62"/>
  <c r="I9" i="68"/>
  <c r="J12" i="68"/>
  <c r="J25" i="68"/>
  <c r="J38" i="68"/>
  <c r="I22" i="62"/>
  <c r="H20" i="62"/>
  <c r="K20" i="62"/>
  <c r="L30" i="62"/>
  <c r="J4" i="71" l="1"/>
  <c r="J3" i="71"/>
  <c r="F4" i="71"/>
  <c r="F3" i="71"/>
  <c r="E4" i="71"/>
  <c r="E3" i="71"/>
  <c r="W4" i="71"/>
  <c r="W3" i="71"/>
  <c r="I20" i="68"/>
  <c r="I21" i="68"/>
  <c r="J29" i="68"/>
  <c r="I30" i="68"/>
  <c r="J28" i="68"/>
  <c r="I22" i="68"/>
  <c r="J22" i="68"/>
  <c r="J30" i="68"/>
  <c r="J20" i="68"/>
  <c r="I28" i="68"/>
  <c r="J21" i="68"/>
  <c r="I29" i="68"/>
  <c r="I4" i="71" l="1"/>
  <c r="I3" i="71"/>
  <c r="I2" i="71"/>
  <c r="I4" i="70"/>
  <c r="I3" i="70"/>
  <c r="I2" i="70"/>
  <c r="I2" i="69"/>
  <c r="H2" i="69"/>
  <c r="G2" i="69"/>
  <c r="H2" i="68"/>
  <c r="H34" i="69"/>
  <c r="G12" i="69"/>
  <c r="G8" i="69"/>
  <c r="G38" i="69"/>
  <c r="H12" i="69"/>
  <c r="G17" i="69"/>
  <c r="H25" i="69"/>
  <c r="I9" i="69"/>
  <c r="G9" i="69"/>
  <c r="I8" i="69"/>
  <c r="I36" i="69"/>
  <c r="G36" i="69"/>
  <c r="H34" i="68"/>
  <c r="I16" i="69"/>
  <c r="G34" i="69"/>
  <c r="H24" i="68"/>
  <c r="H26" i="68"/>
  <c r="G13" i="69"/>
  <c r="G18" i="69"/>
  <c r="I38" i="69"/>
  <c r="G37" i="69"/>
  <c r="H17" i="69"/>
  <c r="H16" i="68"/>
  <c r="I34" i="69"/>
  <c r="H38" i="68"/>
  <c r="I17" i="69"/>
  <c r="H37" i="69"/>
  <c r="H18" i="68"/>
  <c r="H26" i="69"/>
  <c r="H8" i="69"/>
  <c r="H17" i="68"/>
  <c r="H38" i="69"/>
  <c r="G24" i="69"/>
  <c r="I18" i="69"/>
  <c r="H25" i="68"/>
  <c r="H9" i="68"/>
  <c r="G16" i="69"/>
  <c r="H13" i="68"/>
  <c r="H36" i="69"/>
  <c r="H37" i="68"/>
  <c r="I12" i="69"/>
  <c r="I26" i="69"/>
  <c r="H8" i="68"/>
  <c r="I25" i="69"/>
  <c r="G26" i="69"/>
  <c r="H16" i="69"/>
  <c r="H9" i="69"/>
  <c r="H36" i="68"/>
  <c r="I37" i="69"/>
  <c r="H13" i="69"/>
  <c r="G25" i="69"/>
  <c r="H18" i="69"/>
  <c r="I24" i="69"/>
  <c r="H24" i="69"/>
  <c r="I13" i="69"/>
  <c r="H12" i="68"/>
  <c r="J2" i="71" l="1"/>
  <c r="F2" i="71"/>
  <c r="E2" i="71"/>
  <c r="W2" i="71"/>
  <c r="J3" i="70"/>
  <c r="J2" i="70"/>
  <c r="J4" i="70"/>
  <c r="F2" i="70"/>
  <c r="F4" i="70"/>
  <c r="F3" i="70"/>
  <c r="E2" i="70"/>
  <c r="E3" i="70"/>
  <c r="E4" i="70"/>
  <c r="W4" i="70"/>
  <c r="W3" i="70"/>
  <c r="W2" i="70"/>
  <c r="M4" i="71"/>
  <c r="Q4" i="71"/>
  <c r="H2" i="71"/>
  <c r="C3" i="71"/>
  <c r="L2" i="71"/>
  <c r="M3" i="71"/>
  <c r="Q3" i="71"/>
  <c r="G2" i="71"/>
  <c r="H3" i="71"/>
  <c r="K2" i="71"/>
  <c r="L3" i="71"/>
  <c r="S2" i="71"/>
  <c r="H4" i="71"/>
  <c r="L4" i="71"/>
  <c r="G3" i="71"/>
  <c r="D2" i="71"/>
  <c r="K3" i="71"/>
  <c r="R2" i="71"/>
  <c r="S3" i="71"/>
  <c r="C4" i="71"/>
  <c r="G4" i="71"/>
  <c r="K4" i="71"/>
  <c r="S4" i="71"/>
  <c r="C2" i="71"/>
  <c r="D3" i="71"/>
  <c r="M2" i="71"/>
  <c r="Q2" i="71"/>
  <c r="R3" i="71"/>
  <c r="D4" i="71"/>
  <c r="R4" i="71"/>
  <c r="L2" i="70"/>
  <c r="G2" i="70"/>
  <c r="H3" i="70"/>
  <c r="K2" i="70"/>
  <c r="L3" i="70"/>
  <c r="S2" i="70"/>
  <c r="C3" i="70"/>
  <c r="H4" i="70"/>
  <c r="L4" i="70"/>
  <c r="G3" i="70"/>
  <c r="D2" i="70"/>
  <c r="K3" i="70"/>
  <c r="R2" i="70"/>
  <c r="S3" i="70"/>
  <c r="M3" i="70"/>
  <c r="M4" i="70"/>
  <c r="G4" i="70"/>
  <c r="K4" i="70"/>
  <c r="S4" i="70"/>
  <c r="H2" i="70"/>
  <c r="C4" i="70"/>
  <c r="C2" i="70"/>
  <c r="D3" i="70"/>
  <c r="M2" i="70"/>
  <c r="Q2" i="70"/>
  <c r="R3" i="70"/>
  <c r="Q3" i="70"/>
  <c r="Q4" i="70"/>
  <c r="D4" i="70"/>
  <c r="R4" i="70"/>
  <c r="I3" i="35"/>
  <c r="I4" i="35"/>
  <c r="I5" i="35"/>
  <c r="I6" i="35"/>
  <c r="I7" i="35"/>
  <c r="I2" i="35"/>
  <c r="I3" i="52"/>
  <c r="I4" i="52"/>
  <c r="I5" i="52"/>
  <c r="I6" i="52"/>
  <c r="I7" i="52"/>
  <c r="I2" i="52"/>
  <c r="I3" i="33"/>
  <c r="I4" i="33"/>
  <c r="I5" i="33"/>
  <c r="I6" i="33"/>
  <c r="I7" i="33"/>
  <c r="I2" i="33"/>
  <c r="I3" i="41"/>
  <c r="I4" i="41"/>
  <c r="I5" i="41"/>
  <c r="I6" i="41"/>
  <c r="I7" i="41"/>
  <c r="I2" i="41"/>
  <c r="I3" i="28"/>
  <c r="I4" i="28"/>
  <c r="I5" i="28"/>
  <c r="I6" i="28"/>
  <c r="I7" i="28"/>
  <c r="I2" i="28"/>
  <c r="G30" i="69"/>
  <c r="H29" i="68"/>
  <c r="I30" i="69"/>
  <c r="H22" i="68"/>
  <c r="H22" i="69"/>
  <c r="H20" i="68"/>
  <c r="I29" i="69"/>
  <c r="G21" i="69"/>
  <c r="I21" i="69"/>
  <c r="I28" i="69"/>
  <c r="H21" i="69"/>
  <c r="G22" i="69"/>
  <c r="I20" i="69"/>
  <c r="G29" i="69"/>
  <c r="H28" i="69"/>
  <c r="H20" i="69"/>
  <c r="G28" i="69"/>
  <c r="I22" i="69"/>
  <c r="H29" i="69"/>
  <c r="H28" i="68"/>
  <c r="H21" i="68"/>
  <c r="H30" i="68"/>
  <c r="H30" i="69"/>
  <c r="G20" i="69"/>
  <c r="O4" i="71" l="1"/>
  <c r="V3" i="71"/>
  <c r="T2" i="71"/>
  <c r="N4" i="71"/>
  <c r="O2" i="71"/>
  <c r="N2" i="71"/>
  <c r="V2" i="71"/>
  <c r="P3" i="71"/>
  <c r="U2" i="71"/>
  <c r="U3" i="71"/>
  <c r="U4" i="71"/>
  <c r="T3" i="71"/>
  <c r="V4" i="71"/>
  <c r="P4" i="71"/>
  <c r="O3" i="71"/>
  <c r="T4" i="71"/>
  <c r="N3" i="71"/>
  <c r="P2" i="71"/>
  <c r="N4" i="70"/>
  <c r="T2" i="70"/>
  <c r="P3" i="70"/>
  <c r="V2" i="70"/>
  <c r="T3" i="70"/>
  <c r="U2" i="70"/>
  <c r="O3" i="70"/>
  <c r="V4" i="70"/>
  <c r="T4" i="70"/>
  <c r="N3" i="70"/>
  <c r="N2" i="70"/>
  <c r="O4" i="70"/>
  <c r="O2" i="70"/>
  <c r="P4" i="70"/>
  <c r="V3" i="70"/>
  <c r="U4" i="70"/>
  <c r="U3" i="70"/>
  <c r="P2" i="70"/>
  <c r="L2" i="63" l="1"/>
  <c r="K2" i="63"/>
  <c r="J2" i="63"/>
  <c r="I2" i="63"/>
  <c r="H2" i="63"/>
  <c r="G2" i="63"/>
  <c r="H26" i="63"/>
  <c r="H24" i="63"/>
  <c r="H44" i="63"/>
  <c r="G9" i="63"/>
  <c r="G42" i="63"/>
  <c r="K24" i="63"/>
  <c r="G13" i="63"/>
  <c r="L26" i="63"/>
  <c r="L17" i="63"/>
  <c r="H8" i="63"/>
  <c r="J45" i="63"/>
  <c r="H46" i="63"/>
  <c r="G44" i="63"/>
  <c r="H21" i="63"/>
  <c r="I24" i="63"/>
  <c r="I44" i="63"/>
  <c r="K33" i="63"/>
  <c r="H13" i="63"/>
  <c r="J32" i="63"/>
  <c r="J42" i="63"/>
  <c r="G32" i="63"/>
  <c r="G21" i="63"/>
  <c r="J12" i="63"/>
  <c r="K17" i="63"/>
  <c r="J17" i="63"/>
  <c r="L12" i="63"/>
  <c r="H33" i="63"/>
  <c r="G45" i="63"/>
  <c r="J46" i="63"/>
  <c r="I17" i="63"/>
  <c r="H9" i="63"/>
  <c r="I16" i="63"/>
  <c r="G24" i="63"/>
  <c r="G12" i="63"/>
  <c r="J8" i="63"/>
  <c r="K42" i="63"/>
  <c r="J26" i="63"/>
  <c r="I46" i="63"/>
  <c r="J13" i="63"/>
  <c r="G17" i="63"/>
  <c r="L46" i="63"/>
  <c r="J16" i="63"/>
  <c r="J21" i="63"/>
  <c r="J25" i="63"/>
  <c r="L24" i="63"/>
  <c r="I42" i="63"/>
  <c r="L16" i="63"/>
  <c r="G25" i="63"/>
  <c r="I26" i="63"/>
  <c r="G8" i="63"/>
  <c r="L8" i="63"/>
  <c r="I32" i="63"/>
  <c r="L32" i="63"/>
  <c r="J44" i="63"/>
  <c r="L42" i="63"/>
  <c r="K46" i="63"/>
  <c r="H17" i="63"/>
  <c r="J9" i="63"/>
  <c r="K9" i="63"/>
  <c r="L9" i="63"/>
  <c r="L21" i="63"/>
  <c r="K45" i="63"/>
  <c r="L34" i="63"/>
  <c r="G16" i="63"/>
  <c r="L25" i="63"/>
  <c r="G46" i="63"/>
  <c r="K25" i="63"/>
  <c r="L45" i="63"/>
  <c r="I21" i="63"/>
  <c r="H45" i="63"/>
  <c r="H12" i="63"/>
  <c r="K12" i="63"/>
  <c r="G20" i="63"/>
  <c r="H20" i="63"/>
  <c r="I20" i="63"/>
  <c r="J33" i="63"/>
  <c r="K26" i="63"/>
  <c r="I45" i="63"/>
  <c r="I34" i="63"/>
  <c r="K44" i="63"/>
  <c r="K13" i="63"/>
  <c r="K32" i="63"/>
  <c r="H16" i="63"/>
  <c r="K16" i="63"/>
  <c r="I12" i="63"/>
  <c r="L13" i="63"/>
  <c r="H32" i="63"/>
  <c r="I33" i="63"/>
  <c r="J34" i="63"/>
  <c r="G33" i="63"/>
  <c r="K21" i="63"/>
  <c r="H34" i="63"/>
  <c r="J24" i="63"/>
  <c r="I13" i="63"/>
  <c r="I9" i="63"/>
  <c r="L44" i="63"/>
  <c r="G26" i="63"/>
  <c r="L33" i="63"/>
  <c r="J20" i="63"/>
  <c r="H25" i="63"/>
  <c r="K34" i="63"/>
  <c r="L20" i="63"/>
  <c r="I25" i="63"/>
  <c r="G34" i="63"/>
  <c r="K8" i="63"/>
  <c r="H42" i="63"/>
  <c r="I8" i="63"/>
  <c r="K20" i="63"/>
  <c r="W4" i="35" l="1"/>
  <c r="W7" i="35"/>
  <c r="W5" i="35"/>
  <c r="W3" i="35"/>
  <c r="W6" i="35"/>
  <c r="W2" i="35"/>
  <c r="J3" i="35"/>
  <c r="J5" i="35"/>
  <c r="J6" i="35"/>
  <c r="J7" i="35"/>
  <c r="J4" i="35"/>
  <c r="J2" i="35"/>
  <c r="F7" i="35"/>
  <c r="F3" i="35"/>
  <c r="F6" i="35"/>
  <c r="F4" i="35"/>
  <c r="F5" i="35"/>
  <c r="F2" i="35"/>
  <c r="E4" i="35"/>
  <c r="E5" i="35"/>
  <c r="E7" i="35"/>
  <c r="E6" i="35"/>
  <c r="E3" i="35"/>
  <c r="E2" i="35"/>
  <c r="AA5" i="35"/>
  <c r="AA7" i="35"/>
  <c r="AA4" i="35"/>
  <c r="AA6" i="35"/>
  <c r="AA3" i="35"/>
  <c r="AA2" i="35"/>
  <c r="Z4" i="35"/>
  <c r="Z6" i="35"/>
  <c r="Z7" i="35"/>
  <c r="Z3" i="35"/>
  <c r="Z5" i="35"/>
  <c r="Z2" i="35"/>
  <c r="Y7" i="35"/>
  <c r="Y3" i="35"/>
  <c r="Y5" i="35"/>
  <c r="Y4" i="35"/>
  <c r="Y6" i="35"/>
  <c r="Y2" i="35"/>
  <c r="X7" i="35"/>
  <c r="X5" i="35"/>
  <c r="X6" i="35"/>
  <c r="X3" i="35"/>
  <c r="X4" i="35"/>
  <c r="X2" i="35"/>
  <c r="M4" i="35"/>
  <c r="M5" i="35"/>
  <c r="M6" i="35"/>
  <c r="M7" i="35"/>
  <c r="M3" i="35"/>
  <c r="M2" i="35"/>
  <c r="L7" i="35"/>
  <c r="L4" i="35"/>
  <c r="L5" i="35"/>
  <c r="L3" i="35"/>
  <c r="L6" i="35"/>
  <c r="L2" i="35"/>
  <c r="K3" i="35"/>
  <c r="K4" i="35"/>
  <c r="K5" i="35"/>
  <c r="K6" i="35"/>
  <c r="K7" i="35"/>
  <c r="K2" i="35"/>
  <c r="D6" i="35"/>
  <c r="D7" i="35"/>
  <c r="D4" i="35"/>
  <c r="D3" i="35"/>
  <c r="D5" i="35"/>
  <c r="D2" i="35"/>
  <c r="C4" i="35"/>
  <c r="C6" i="35"/>
  <c r="C7" i="35"/>
  <c r="C5" i="35"/>
  <c r="C3" i="35"/>
  <c r="C2" i="35"/>
  <c r="G5" i="35"/>
  <c r="H3" i="35"/>
  <c r="H4" i="35"/>
  <c r="G3" i="35"/>
  <c r="H5" i="35"/>
  <c r="G4" i="35"/>
  <c r="H6" i="35"/>
  <c r="H7" i="35"/>
  <c r="G6" i="35"/>
  <c r="G7" i="35"/>
  <c r="H2" i="35"/>
  <c r="G2" i="35"/>
  <c r="I28" i="63"/>
  <c r="I38" i="63"/>
  <c r="L28" i="63"/>
  <c r="J37" i="63"/>
  <c r="K28" i="63"/>
  <c r="L38" i="63"/>
  <c r="J36" i="63"/>
  <c r="H30" i="63"/>
  <c r="I37" i="63"/>
  <c r="G37" i="63"/>
  <c r="G38" i="63"/>
  <c r="I36" i="63"/>
  <c r="L36" i="63"/>
  <c r="L37" i="63"/>
  <c r="H37" i="63"/>
  <c r="J29" i="63"/>
  <c r="G36" i="63"/>
  <c r="H38" i="63"/>
  <c r="J30" i="63"/>
  <c r="K37" i="63"/>
  <c r="J38" i="63"/>
  <c r="L29" i="63"/>
  <c r="K29" i="63"/>
  <c r="H29" i="63"/>
  <c r="K36" i="63"/>
  <c r="L30" i="63"/>
  <c r="J28" i="63"/>
  <c r="K30" i="63"/>
  <c r="G30" i="63"/>
  <c r="K38" i="63"/>
  <c r="G28" i="63"/>
  <c r="H28" i="63"/>
  <c r="H36" i="63"/>
  <c r="I30" i="63"/>
  <c r="G29" i="63"/>
  <c r="I29" i="63"/>
  <c r="V3" i="35" l="1"/>
  <c r="V6" i="35"/>
  <c r="V5" i="35"/>
  <c r="V4" i="35"/>
  <c r="V7" i="35"/>
  <c r="V2" i="35"/>
  <c r="U3" i="35"/>
  <c r="U5" i="35"/>
  <c r="U7" i="35"/>
  <c r="U6" i="35"/>
  <c r="U4" i="35"/>
  <c r="U2" i="35"/>
  <c r="T4" i="35"/>
  <c r="T5" i="35"/>
  <c r="T6" i="35"/>
  <c r="T3" i="35"/>
  <c r="T7" i="35"/>
  <c r="T2" i="35"/>
  <c r="S5" i="35"/>
  <c r="S6" i="35"/>
  <c r="S7" i="35"/>
  <c r="S4" i="35"/>
  <c r="S3" i="35"/>
  <c r="S2" i="35"/>
  <c r="R6" i="35"/>
  <c r="R5" i="35"/>
  <c r="R4" i="35"/>
  <c r="R3" i="35"/>
  <c r="R7" i="35"/>
  <c r="R2" i="35"/>
  <c r="Q3" i="35"/>
  <c r="Q7" i="35"/>
  <c r="Q4" i="35"/>
  <c r="Q5" i="35"/>
  <c r="Q6" i="35"/>
  <c r="Q2" i="35"/>
  <c r="P4" i="35"/>
  <c r="P3" i="35"/>
  <c r="P7" i="35"/>
  <c r="P5" i="35"/>
  <c r="P6" i="35"/>
  <c r="P2" i="35"/>
  <c r="O7" i="35"/>
  <c r="O4" i="35"/>
  <c r="O3" i="35"/>
  <c r="O5" i="35"/>
  <c r="O6" i="35"/>
  <c r="O2" i="35"/>
  <c r="N5" i="35"/>
  <c r="N6" i="35"/>
  <c r="N4" i="35"/>
  <c r="N3" i="35"/>
  <c r="N7" i="35"/>
  <c r="N2" i="35"/>
  <c r="L2" i="61" l="1"/>
  <c r="K2" i="61"/>
  <c r="J2" i="61"/>
  <c r="I2" i="61"/>
  <c r="H2" i="61"/>
  <c r="G2" i="61"/>
  <c r="M2" i="60"/>
  <c r="L2" i="60"/>
  <c r="K2" i="60"/>
  <c r="J2" i="60"/>
  <c r="I2" i="60"/>
  <c r="H2" i="60"/>
  <c r="L2" i="54"/>
  <c r="K2" i="54"/>
  <c r="J2" i="54"/>
  <c r="I2" i="54"/>
  <c r="H2" i="54"/>
  <c r="G2" i="54"/>
  <c r="M2" i="51"/>
  <c r="L2" i="51"/>
  <c r="K2" i="51"/>
  <c r="J2" i="51"/>
  <c r="I2" i="51"/>
  <c r="H2" i="51"/>
  <c r="L36" i="61"/>
  <c r="L38" i="61"/>
  <c r="L39" i="61"/>
  <c r="L37" i="61"/>
  <c r="K39" i="61"/>
  <c r="K37" i="61"/>
  <c r="K36" i="61"/>
  <c r="K38" i="61"/>
  <c r="G38" i="61"/>
  <c r="G39" i="61"/>
  <c r="G36" i="61"/>
  <c r="G37" i="61"/>
  <c r="J37" i="61"/>
  <c r="J38" i="61"/>
  <c r="J36" i="61"/>
  <c r="J39" i="61"/>
  <c r="I36" i="61"/>
  <c r="I39" i="61"/>
  <c r="I38" i="61"/>
  <c r="I37" i="61"/>
  <c r="H36" i="61"/>
  <c r="H37" i="61"/>
  <c r="H38" i="61"/>
  <c r="H39" i="61"/>
  <c r="H18" i="61"/>
  <c r="M25" i="51"/>
  <c r="I12" i="60"/>
  <c r="H12" i="61"/>
  <c r="M38" i="60"/>
  <c r="H25" i="51"/>
  <c r="M25" i="60"/>
  <c r="I13" i="60"/>
  <c r="J16" i="61"/>
  <c r="M36" i="51"/>
  <c r="H26" i="61"/>
  <c r="J26" i="51"/>
  <c r="J34" i="60"/>
  <c r="J25" i="60"/>
  <c r="G8" i="61"/>
  <c r="H36" i="51"/>
  <c r="H13" i="51"/>
  <c r="G25" i="54"/>
  <c r="H37" i="51"/>
  <c r="K8" i="54"/>
  <c r="K34" i="60"/>
  <c r="J16" i="60"/>
  <c r="I9" i="51"/>
  <c r="K18" i="51"/>
  <c r="J25" i="54"/>
  <c r="K25" i="61"/>
  <c r="J17" i="51"/>
  <c r="H26" i="60"/>
  <c r="G34" i="61"/>
  <c r="J38" i="54"/>
  <c r="G24" i="61"/>
  <c r="M9" i="51"/>
  <c r="G16" i="54"/>
  <c r="H13" i="60"/>
  <c r="J9" i="54"/>
  <c r="K37" i="60"/>
  <c r="J8" i="51"/>
  <c r="I17" i="60"/>
  <c r="K24" i="60"/>
  <c r="H34" i="51"/>
  <c r="L26" i="54"/>
  <c r="I34" i="61"/>
  <c r="L24" i="54"/>
  <c r="I9" i="61"/>
  <c r="I16" i="61"/>
  <c r="I26" i="61"/>
  <c r="J17" i="60"/>
  <c r="H24" i="60"/>
  <c r="K26" i="51"/>
  <c r="K17" i="60"/>
  <c r="L18" i="54"/>
  <c r="L36" i="51"/>
  <c r="H8" i="60"/>
  <c r="K24" i="54"/>
  <c r="K16" i="51"/>
  <c r="I12" i="51"/>
  <c r="L9" i="54"/>
  <c r="H8" i="61"/>
  <c r="L26" i="60"/>
  <c r="H36" i="60"/>
  <c r="G17" i="54"/>
  <c r="H17" i="61"/>
  <c r="M8" i="60"/>
  <c r="I13" i="51"/>
  <c r="J36" i="54"/>
  <c r="H13" i="61"/>
  <c r="J18" i="60"/>
  <c r="K36" i="60"/>
  <c r="J36" i="51"/>
  <c r="L8" i="51"/>
  <c r="K36" i="51"/>
  <c r="L9" i="51"/>
  <c r="M8" i="51"/>
  <c r="L25" i="61"/>
  <c r="K34" i="61"/>
  <c r="H34" i="60"/>
  <c r="H9" i="51"/>
  <c r="K9" i="61"/>
  <c r="K26" i="60"/>
  <c r="K38" i="54"/>
  <c r="H8" i="51"/>
  <c r="M16" i="60"/>
  <c r="J24" i="60"/>
  <c r="J13" i="51"/>
  <c r="K8" i="51"/>
  <c r="L26" i="51"/>
  <c r="L12" i="60"/>
  <c r="L37" i="54"/>
  <c r="J12" i="60"/>
  <c r="J24" i="51"/>
  <c r="L16" i="61"/>
  <c r="H9" i="61"/>
  <c r="L24" i="60"/>
  <c r="H38" i="60"/>
  <c r="K25" i="60"/>
  <c r="G24" i="54"/>
  <c r="J37" i="54"/>
  <c r="K18" i="54"/>
  <c r="M24" i="60"/>
  <c r="H13" i="54"/>
  <c r="K26" i="54"/>
  <c r="M17" i="60"/>
  <c r="J17" i="54"/>
  <c r="G18" i="61"/>
  <c r="M18" i="60"/>
  <c r="H9" i="54"/>
  <c r="H18" i="60"/>
  <c r="G26" i="54"/>
  <c r="I38" i="54"/>
  <c r="M34" i="60"/>
  <c r="L26" i="61"/>
  <c r="G12" i="54"/>
  <c r="K18" i="61"/>
  <c r="L37" i="60"/>
  <c r="K9" i="60"/>
  <c r="L38" i="51"/>
  <c r="L24" i="61"/>
  <c r="I38" i="60"/>
  <c r="M13" i="51"/>
  <c r="K17" i="54"/>
  <c r="G8" i="54"/>
  <c r="I36" i="60"/>
  <c r="J18" i="61"/>
  <c r="J24" i="54"/>
  <c r="I25" i="54"/>
  <c r="L16" i="60"/>
  <c r="H12" i="60"/>
  <c r="L34" i="54"/>
  <c r="J34" i="61"/>
  <c r="L36" i="60"/>
  <c r="J12" i="54"/>
  <c r="I37" i="60"/>
  <c r="H12" i="54"/>
  <c r="K37" i="51"/>
  <c r="J37" i="51"/>
  <c r="G37" i="54"/>
  <c r="H38" i="51"/>
  <c r="I25" i="60"/>
  <c r="K25" i="51"/>
  <c r="I17" i="54"/>
  <c r="L34" i="51"/>
  <c r="K34" i="51"/>
  <c r="G25" i="61"/>
  <c r="I24" i="51"/>
  <c r="L25" i="54"/>
  <c r="M26" i="51"/>
  <c r="H18" i="51"/>
  <c r="I26" i="60"/>
  <c r="L9" i="61"/>
  <c r="G38" i="54"/>
  <c r="J17" i="61"/>
  <c r="K9" i="51"/>
  <c r="I9" i="60"/>
  <c r="H34" i="61"/>
  <c r="K16" i="61"/>
  <c r="H37" i="54"/>
  <c r="I18" i="61"/>
  <c r="I12" i="54"/>
  <c r="I8" i="51"/>
  <c r="G18" i="54"/>
  <c r="I18" i="51"/>
  <c r="L12" i="51"/>
  <c r="M13" i="60"/>
  <c r="I37" i="54"/>
  <c r="H34" i="54"/>
  <c r="I38" i="51"/>
  <c r="L34" i="61"/>
  <c r="L9" i="60"/>
  <c r="J38" i="60"/>
  <c r="L36" i="54"/>
  <c r="H17" i="51"/>
  <c r="J8" i="54"/>
  <c r="J34" i="51"/>
  <c r="H17" i="54"/>
  <c r="L18" i="51"/>
  <c r="G12" i="61"/>
  <c r="K9" i="54"/>
  <c r="H8" i="54"/>
  <c r="I8" i="54"/>
  <c r="J25" i="51"/>
  <c r="J9" i="51"/>
  <c r="G17" i="61"/>
  <c r="I34" i="54"/>
  <c r="H16" i="54"/>
  <c r="J16" i="51"/>
  <c r="J9" i="60"/>
  <c r="I18" i="54"/>
  <c r="H24" i="61"/>
  <c r="G16" i="61"/>
  <c r="I17" i="61"/>
  <c r="J13" i="60"/>
  <c r="H18" i="54"/>
  <c r="L17" i="61"/>
  <c r="J9" i="61"/>
  <c r="J12" i="61"/>
  <c r="K13" i="60"/>
  <c r="M37" i="60"/>
  <c r="K8" i="60"/>
  <c r="L16" i="51"/>
  <c r="J26" i="60"/>
  <c r="K12" i="51"/>
  <c r="G9" i="61"/>
  <c r="I26" i="54"/>
  <c r="I8" i="61"/>
  <c r="L38" i="54"/>
  <c r="J34" i="54"/>
  <c r="H26" i="51"/>
  <c r="L12" i="54"/>
  <c r="L17" i="54"/>
  <c r="M26" i="60"/>
  <c r="J18" i="54"/>
  <c r="L18" i="61"/>
  <c r="K12" i="60"/>
  <c r="I34" i="51"/>
  <c r="L12" i="61"/>
  <c r="J8" i="61"/>
  <c r="K13" i="51"/>
  <c r="H9" i="60"/>
  <c r="I24" i="60"/>
  <c r="H36" i="54"/>
  <c r="L18" i="60"/>
  <c r="J13" i="54"/>
  <c r="K17" i="61"/>
  <c r="L25" i="60"/>
  <c r="I16" i="54"/>
  <c r="L17" i="60"/>
  <c r="J24" i="61"/>
  <c r="I8" i="60"/>
  <c r="I36" i="54"/>
  <c r="L13" i="61"/>
  <c r="J26" i="61"/>
  <c r="L17" i="51"/>
  <c r="K16" i="54"/>
  <c r="J13" i="61"/>
  <c r="H24" i="51"/>
  <c r="K26" i="61"/>
  <c r="G9" i="54"/>
  <c r="K36" i="54"/>
  <c r="K13" i="54"/>
  <c r="K12" i="54"/>
  <c r="J36" i="60"/>
  <c r="K25" i="54"/>
  <c r="J26" i="54"/>
  <c r="I18" i="60"/>
  <c r="J8" i="60"/>
  <c r="K37" i="54"/>
  <c r="J16" i="54"/>
  <c r="I17" i="51"/>
  <c r="I16" i="51"/>
  <c r="I16" i="60"/>
  <c r="I12" i="61"/>
  <c r="M38" i="51"/>
  <c r="J18" i="51"/>
  <c r="G13" i="54"/>
  <c r="L13" i="54"/>
  <c r="M16" i="51"/>
  <c r="I24" i="61"/>
  <c r="L34" i="60"/>
  <c r="J37" i="60"/>
  <c r="H16" i="61"/>
  <c r="K13" i="61"/>
  <c r="L38" i="60"/>
  <c r="G26" i="61"/>
  <c r="H25" i="60"/>
  <c r="H12" i="51"/>
  <c r="I13" i="54"/>
  <c r="M9" i="60"/>
  <c r="K24" i="61"/>
  <c r="I37" i="51"/>
  <c r="M37" i="51"/>
  <c r="H24" i="54"/>
  <c r="I25" i="61"/>
  <c r="I26" i="51"/>
  <c r="L24" i="51"/>
  <c r="I24" i="54"/>
  <c r="L13" i="51"/>
  <c r="H25" i="54"/>
  <c r="K34" i="54"/>
  <c r="I25" i="51"/>
  <c r="M12" i="60"/>
  <c r="J25" i="61"/>
  <c r="L8" i="60"/>
  <c r="L8" i="54"/>
  <c r="M36" i="60"/>
  <c r="K38" i="60"/>
  <c r="K38" i="51"/>
  <c r="L13" i="60"/>
  <c r="J38" i="51"/>
  <c r="M17" i="51"/>
  <c r="K24" i="51"/>
  <c r="H38" i="54"/>
  <c r="L25" i="51"/>
  <c r="H16" i="60"/>
  <c r="K16" i="60"/>
  <c r="H26" i="54"/>
  <c r="M12" i="51"/>
  <c r="I34" i="60"/>
  <c r="K12" i="61"/>
  <c r="H16" i="51"/>
  <c r="H25" i="61"/>
  <c r="H17" i="60"/>
  <c r="K17" i="51"/>
  <c r="G36" i="54"/>
  <c r="K18" i="60"/>
  <c r="M18" i="51"/>
  <c r="H37" i="60"/>
  <c r="L8" i="61"/>
  <c r="G34" i="54"/>
  <c r="L16" i="54"/>
  <c r="M24" i="51"/>
  <c r="I36" i="51"/>
  <c r="K8" i="61"/>
  <c r="I13" i="61"/>
  <c r="J12" i="51"/>
  <c r="L37" i="51"/>
  <c r="I9" i="54"/>
  <c r="M34" i="51"/>
  <c r="G13" i="61"/>
  <c r="J3" i="52" l="1"/>
  <c r="J6" i="52"/>
  <c r="J2" i="52"/>
  <c r="J7" i="52"/>
  <c r="J4" i="52"/>
  <c r="J5" i="52"/>
  <c r="F5" i="52"/>
  <c r="F7" i="52"/>
  <c r="F3" i="52"/>
  <c r="F6" i="52"/>
  <c r="F4" i="52"/>
  <c r="F2" i="52"/>
  <c r="E5" i="52"/>
  <c r="E7" i="52"/>
  <c r="E4" i="52"/>
  <c r="E2" i="52"/>
  <c r="E3" i="52"/>
  <c r="E6" i="52"/>
  <c r="W6" i="52"/>
  <c r="W2" i="52"/>
  <c r="W5" i="52"/>
  <c r="W4" i="52"/>
  <c r="W3" i="52"/>
  <c r="W7" i="52"/>
  <c r="F3" i="28"/>
  <c r="F6" i="28"/>
  <c r="F4" i="28"/>
  <c r="F5" i="28"/>
  <c r="F7" i="28"/>
  <c r="F2" i="28"/>
  <c r="E6" i="28"/>
  <c r="E5" i="28"/>
  <c r="E7" i="28"/>
  <c r="E4" i="28"/>
  <c r="E3" i="28"/>
  <c r="E2" i="28"/>
  <c r="J3" i="41"/>
  <c r="J4" i="41"/>
  <c r="J2" i="41"/>
  <c r="J7" i="41"/>
  <c r="J5" i="41"/>
  <c r="J6" i="41"/>
  <c r="F6" i="41"/>
  <c r="F3" i="41"/>
  <c r="F2" i="41"/>
  <c r="F4" i="41"/>
  <c r="F5" i="41"/>
  <c r="F7" i="41"/>
  <c r="E2" i="41"/>
  <c r="E6" i="41"/>
  <c r="E5" i="41"/>
  <c r="E3" i="41"/>
  <c r="E4" i="41"/>
  <c r="E7" i="41"/>
  <c r="W4" i="41"/>
  <c r="W3" i="41"/>
  <c r="W2" i="41"/>
  <c r="W7" i="41"/>
  <c r="W6" i="41"/>
  <c r="W5" i="41"/>
  <c r="W4" i="28"/>
  <c r="W3" i="28"/>
  <c r="W5" i="28"/>
  <c r="W6" i="28"/>
  <c r="W7" i="28"/>
  <c r="W2" i="28"/>
  <c r="J4" i="28"/>
  <c r="J5" i="28"/>
  <c r="J3" i="28"/>
  <c r="J7" i="28"/>
  <c r="J6" i="28"/>
  <c r="J2" i="28"/>
  <c r="G6" i="41"/>
  <c r="G7" i="41"/>
  <c r="M4" i="41"/>
  <c r="C4" i="41"/>
  <c r="K7" i="41"/>
  <c r="G4" i="41"/>
  <c r="D7" i="41"/>
  <c r="C5" i="41"/>
  <c r="M5" i="41"/>
  <c r="H3" i="41"/>
  <c r="L3" i="41"/>
  <c r="D6" i="41"/>
  <c r="D5" i="41"/>
  <c r="C3" i="41"/>
  <c r="K6" i="41"/>
  <c r="H6" i="41"/>
  <c r="M3" i="41"/>
  <c r="D4" i="41"/>
  <c r="C6" i="41"/>
  <c r="H4" i="41"/>
  <c r="G5" i="41"/>
  <c r="H7" i="41"/>
  <c r="G3" i="41"/>
  <c r="D3" i="41"/>
  <c r="H5" i="41"/>
  <c r="L6" i="41"/>
  <c r="L7" i="41"/>
  <c r="K4" i="41"/>
  <c r="L4" i="41"/>
  <c r="M7" i="41"/>
  <c r="K5" i="41"/>
  <c r="C7" i="41"/>
  <c r="K3" i="41"/>
  <c r="M6" i="41"/>
  <c r="L5" i="41"/>
  <c r="M2" i="41"/>
  <c r="L2" i="41"/>
  <c r="D2" i="41"/>
  <c r="H2" i="41"/>
  <c r="G2" i="41"/>
  <c r="K2" i="41"/>
  <c r="C2" i="41"/>
  <c r="H5" i="52"/>
  <c r="L5" i="52"/>
  <c r="M7" i="52"/>
  <c r="G4" i="52"/>
  <c r="H6" i="52"/>
  <c r="D2" i="52"/>
  <c r="K4" i="52"/>
  <c r="L6" i="52"/>
  <c r="G3" i="52"/>
  <c r="K3" i="52"/>
  <c r="H7" i="52"/>
  <c r="K5" i="52"/>
  <c r="G6" i="52"/>
  <c r="C2" i="52"/>
  <c r="D4" i="52"/>
  <c r="K6" i="52"/>
  <c r="M2" i="52"/>
  <c r="C7" i="52"/>
  <c r="G5" i="52"/>
  <c r="D3" i="52"/>
  <c r="L7" i="52"/>
  <c r="G7" i="52"/>
  <c r="C3" i="52"/>
  <c r="D5" i="52"/>
  <c r="K7" i="52"/>
  <c r="M3" i="52"/>
  <c r="C4" i="52"/>
  <c r="L2" i="52"/>
  <c r="M4" i="52"/>
  <c r="H3" i="52"/>
  <c r="C5" i="52"/>
  <c r="D7" i="52"/>
  <c r="L3" i="52"/>
  <c r="M5" i="52"/>
  <c r="H2" i="52"/>
  <c r="D6" i="52"/>
  <c r="G2" i="52"/>
  <c r="H4" i="52"/>
  <c r="C6" i="52"/>
  <c r="K2" i="52"/>
  <c r="L4" i="52"/>
  <c r="M6" i="52"/>
  <c r="M3" i="28"/>
  <c r="D3" i="28"/>
  <c r="C3" i="28"/>
  <c r="H3" i="28"/>
  <c r="L3" i="28"/>
  <c r="G3" i="28"/>
  <c r="K3" i="28"/>
  <c r="K5" i="28"/>
  <c r="K7" i="28"/>
  <c r="G4" i="28"/>
  <c r="H6" i="28"/>
  <c r="D2" i="28"/>
  <c r="K4" i="28"/>
  <c r="L6" i="28"/>
  <c r="M2" i="28"/>
  <c r="H2" i="28"/>
  <c r="C4" i="28"/>
  <c r="D6" i="28"/>
  <c r="L2" i="28"/>
  <c r="M4" i="28"/>
  <c r="H7" i="28"/>
  <c r="C2" i="28"/>
  <c r="C5" i="28"/>
  <c r="D7" i="28"/>
  <c r="M5" i="28"/>
  <c r="L7" i="28"/>
  <c r="G6" i="28"/>
  <c r="G7" i="28"/>
  <c r="H4" i="28"/>
  <c r="C6" i="28"/>
  <c r="K2" i="28"/>
  <c r="L4" i="28"/>
  <c r="M6" i="28"/>
  <c r="G5" i="28"/>
  <c r="K6" i="28"/>
  <c r="D5" i="28"/>
  <c r="G2" i="28"/>
  <c r="H5" i="28"/>
  <c r="C7" i="28"/>
  <c r="L5" i="28"/>
  <c r="M7" i="28"/>
  <c r="D4" i="28"/>
  <c r="H2" i="32"/>
  <c r="I2" i="32"/>
  <c r="J2" i="32"/>
  <c r="K2" i="32"/>
  <c r="L2" i="32"/>
  <c r="G2" i="32"/>
  <c r="J29" i="51"/>
  <c r="L18" i="32"/>
  <c r="G20" i="54"/>
  <c r="I20" i="54"/>
  <c r="K28" i="51"/>
  <c r="M30" i="51"/>
  <c r="L24" i="32"/>
  <c r="J22" i="61"/>
  <c r="H13" i="32"/>
  <c r="K24" i="32"/>
  <c r="L29" i="51"/>
  <c r="I24" i="32"/>
  <c r="G29" i="61"/>
  <c r="K13" i="32"/>
  <c r="G13" i="32"/>
  <c r="L36" i="32"/>
  <c r="H28" i="54"/>
  <c r="I8" i="32"/>
  <c r="I21" i="60"/>
  <c r="J24" i="32"/>
  <c r="L28" i="61"/>
  <c r="I30" i="54"/>
  <c r="K21" i="61"/>
  <c r="G17" i="32"/>
  <c r="L28" i="51"/>
  <c r="H37" i="32"/>
  <c r="M22" i="51"/>
  <c r="H21" i="54"/>
  <c r="H16" i="32"/>
  <c r="H29" i="54"/>
  <c r="I29" i="51"/>
  <c r="I28" i="60"/>
  <c r="K20" i="61"/>
  <c r="H22" i="51"/>
  <c r="H22" i="60"/>
  <c r="I16" i="32"/>
  <c r="M21" i="60"/>
  <c r="L37" i="32"/>
  <c r="I21" i="51"/>
  <c r="L22" i="61"/>
  <c r="L8" i="32"/>
  <c r="H22" i="61"/>
  <c r="I22" i="61"/>
  <c r="I28" i="54"/>
  <c r="I20" i="60"/>
  <c r="K21" i="54"/>
  <c r="G16" i="32"/>
  <c r="I28" i="51"/>
  <c r="J22" i="51"/>
  <c r="G22" i="61"/>
  <c r="I38" i="32"/>
  <c r="L30" i="54"/>
  <c r="J36" i="32"/>
  <c r="H20" i="54"/>
  <c r="M29" i="60"/>
  <c r="L30" i="51"/>
  <c r="I22" i="51"/>
  <c r="L16" i="32"/>
  <c r="G37" i="32"/>
  <c r="J28" i="51"/>
  <c r="L17" i="32"/>
  <c r="L21" i="54"/>
  <c r="H20" i="60"/>
  <c r="J9" i="32"/>
  <c r="H21" i="51"/>
  <c r="K29" i="51"/>
  <c r="L22" i="51"/>
  <c r="G12" i="32"/>
  <c r="K28" i="60"/>
  <c r="L20" i="54"/>
  <c r="L12" i="32"/>
  <c r="L22" i="60"/>
  <c r="K22" i="54"/>
  <c r="M20" i="60"/>
  <c r="H26" i="32"/>
  <c r="L28" i="54"/>
  <c r="G30" i="54"/>
  <c r="K28" i="61"/>
  <c r="H34" i="32"/>
  <c r="H25" i="32"/>
  <c r="K22" i="61"/>
  <c r="J12" i="32"/>
  <c r="J30" i="60"/>
  <c r="I30" i="60"/>
  <c r="K25" i="32"/>
  <c r="H9" i="32"/>
  <c r="G34" i="32"/>
  <c r="G38" i="32"/>
  <c r="H20" i="61"/>
  <c r="J17" i="32"/>
  <c r="I21" i="61"/>
  <c r="J16" i="32"/>
  <c r="G21" i="61"/>
  <c r="L20" i="61"/>
  <c r="J30" i="51"/>
  <c r="K17" i="32"/>
  <c r="I13" i="32"/>
  <c r="M28" i="60"/>
  <c r="K28" i="54"/>
  <c r="L22" i="54"/>
  <c r="H30" i="60"/>
  <c r="L25" i="32"/>
  <c r="K21" i="60"/>
  <c r="J22" i="60"/>
  <c r="H21" i="60"/>
  <c r="I25" i="32"/>
  <c r="L30" i="60"/>
  <c r="J28" i="54"/>
  <c r="L21" i="61"/>
  <c r="L21" i="51"/>
  <c r="G28" i="54"/>
  <c r="G18" i="32"/>
  <c r="K38" i="32"/>
  <c r="I17" i="32"/>
  <c r="K20" i="54"/>
  <c r="I20" i="61"/>
  <c r="J34" i="32"/>
  <c r="I30" i="61"/>
  <c r="J29" i="60"/>
  <c r="K21" i="51"/>
  <c r="G20" i="61"/>
  <c r="K22" i="51"/>
  <c r="G21" i="54"/>
  <c r="K36" i="32"/>
  <c r="K22" i="60"/>
  <c r="H18" i="32"/>
  <c r="I37" i="32"/>
  <c r="G30" i="61"/>
  <c r="L21" i="60"/>
  <c r="H30" i="54"/>
  <c r="H38" i="32"/>
  <c r="K30" i="51"/>
  <c r="G26" i="32"/>
  <c r="L30" i="61"/>
  <c r="K26" i="32"/>
  <c r="H29" i="61"/>
  <c r="G22" i="54"/>
  <c r="I29" i="61"/>
  <c r="J38" i="32"/>
  <c r="I12" i="32"/>
  <c r="K30" i="54"/>
  <c r="M21" i="51"/>
  <c r="J21" i="60"/>
  <c r="I18" i="32"/>
  <c r="J13" i="32"/>
  <c r="G28" i="61"/>
  <c r="L29" i="60"/>
  <c r="L20" i="60"/>
  <c r="K20" i="51"/>
  <c r="J26" i="32"/>
  <c r="H36" i="32"/>
  <c r="I36" i="32"/>
  <c r="K29" i="61"/>
  <c r="M20" i="51"/>
  <c r="H29" i="51"/>
  <c r="K18" i="32"/>
  <c r="I22" i="54"/>
  <c r="K37" i="32"/>
  <c r="H17" i="32"/>
  <c r="M28" i="51"/>
  <c r="L29" i="61"/>
  <c r="H20" i="51"/>
  <c r="K30" i="60"/>
  <c r="J25" i="32"/>
  <c r="I22" i="60"/>
  <c r="J30" i="54"/>
  <c r="I30" i="51"/>
  <c r="M22" i="60"/>
  <c r="L26" i="32"/>
  <c r="L29" i="54"/>
  <c r="I21" i="54"/>
  <c r="L20" i="51"/>
  <c r="K9" i="32"/>
  <c r="J21" i="51"/>
  <c r="J21" i="54"/>
  <c r="H12" i="32"/>
  <c r="K12" i="32"/>
  <c r="K29" i="60"/>
  <c r="I20" i="51"/>
  <c r="L9" i="32"/>
  <c r="J37" i="32"/>
  <c r="J20" i="54"/>
  <c r="G8" i="32"/>
  <c r="H28" i="60"/>
  <c r="J22" i="54"/>
  <c r="I34" i="32"/>
  <c r="I9" i="32"/>
  <c r="J21" i="61"/>
  <c r="K30" i="61"/>
  <c r="H30" i="51"/>
  <c r="H29" i="60"/>
  <c r="H22" i="54"/>
  <c r="G36" i="32"/>
  <c r="J20" i="61"/>
  <c r="J29" i="61"/>
  <c r="M29" i="51"/>
  <c r="J30" i="61"/>
  <c r="L34" i="32"/>
  <c r="H8" i="32"/>
  <c r="I26" i="32"/>
  <c r="J8" i="32"/>
  <c r="H30" i="61"/>
  <c r="K8" i="32"/>
  <c r="H28" i="61"/>
  <c r="L28" i="60"/>
  <c r="J28" i="60"/>
  <c r="J29" i="54"/>
  <c r="K20" i="60"/>
  <c r="K16" i="32"/>
  <c r="G24" i="32"/>
  <c r="H28" i="51"/>
  <c r="G29" i="54"/>
  <c r="L38" i="32"/>
  <c r="J28" i="61"/>
  <c r="L13" i="32"/>
  <c r="I29" i="60"/>
  <c r="K34" i="32"/>
  <c r="H21" i="61"/>
  <c r="J20" i="60"/>
  <c r="H24" i="32"/>
  <c r="G9" i="32"/>
  <c r="J18" i="32"/>
  <c r="I29" i="54"/>
  <c r="M30" i="60"/>
  <c r="I28" i="61"/>
  <c r="K29" i="54"/>
  <c r="G25" i="32"/>
  <c r="J20" i="51"/>
  <c r="J7" i="33" l="1"/>
  <c r="J6" i="33"/>
  <c r="J5" i="33"/>
  <c r="J4" i="33"/>
  <c r="J3" i="33"/>
  <c r="J2" i="33"/>
  <c r="F5" i="33"/>
  <c r="F3" i="33"/>
  <c r="F2" i="33"/>
  <c r="F7" i="33"/>
  <c r="F6" i="33"/>
  <c r="F4" i="33"/>
  <c r="E4" i="33"/>
  <c r="E5" i="33"/>
  <c r="E7" i="33"/>
  <c r="E3" i="33"/>
  <c r="E2" i="33"/>
  <c r="E6" i="33"/>
  <c r="W7" i="33"/>
  <c r="W5" i="33"/>
  <c r="W3" i="33"/>
  <c r="W4" i="33"/>
  <c r="W6" i="33"/>
  <c r="W2" i="33"/>
  <c r="V6" i="52"/>
  <c r="V3" i="52"/>
  <c r="V4" i="52"/>
  <c r="V5" i="52"/>
  <c r="V7" i="52"/>
  <c r="V2" i="52"/>
  <c r="U6" i="52"/>
  <c r="U4" i="52"/>
  <c r="U3" i="52"/>
  <c r="U5" i="52"/>
  <c r="U7" i="52"/>
  <c r="U2" i="52"/>
  <c r="T7" i="52"/>
  <c r="T3" i="52"/>
  <c r="T6" i="52"/>
  <c r="T4" i="52"/>
  <c r="T5" i="52"/>
  <c r="T2" i="52"/>
  <c r="V4" i="41"/>
  <c r="V3" i="41"/>
  <c r="V7" i="41"/>
  <c r="V5" i="41"/>
  <c r="V6" i="41"/>
  <c r="V2" i="41"/>
  <c r="U3" i="41"/>
  <c r="U4" i="41"/>
  <c r="U6" i="41"/>
  <c r="U7" i="41"/>
  <c r="U5" i="41"/>
  <c r="U2" i="41"/>
  <c r="T7" i="41"/>
  <c r="T6" i="41"/>
  <c r="T3" i="41"/>
  <c r="T4" i="41"/>
  <c r="T5" i="41"/>
  <c r="T2" i="41"/>
  <c r="V6" i="28"/>
  <c r="V5" i="28"/>
  <c r="V4" i="28"/>
  <c r="V7" i="28"/>
  <c r="V3" i="28"/>
  <c r="V2" i="28"/>
  <c r="U7" i="28"/>
  <c r="U5" i="28"/>
  <c r="U4" i="28"/>
  <c r="U3" i="28"/>
  <c r="U6" i="28"/>
  <c r="U2" i="28"/>
  <c r="T6" i="28"/>
  <c r="T7" i="28"/>
  <c r="T5" i="28"/>
  <c r="T4" i="28"/>
  <c r="T3" i="28"/>
  <c r="T2" i="28"/>
  <c r="S3" i="41"/>
  <c r="Q4" i="41"/>
  <c r="S5" i="41"/>
  <c r="N4" i="41"/>
  <c r="P6" i="41"/>
  <c r="R7" i="41"/>
  <c r="O3" i="41"/>
  <c r="Q6" i="41"/>
  <c r="P7" i="41"/>
  <c r="N3" i="41"/>
  <c r="R5" i="41"/>
  <c r="O6" i="41"/>
  <c r="Q7" i="41"/>
  <c r="R4" i="41"/>
  <c r="N7" i="41"/>
  <c r="S4" i="41"/>
  <c r="S7" i="41"/>
  <c r="R6" i="41"/>
  <c r="Q5" i="41"/>
  <c r="N6" i="41"/>
  <c r="P3" i="41"/>
  <c r="R3" i="41"/>
  <c r="N5" i="41"/>
  <c r="S6" i="41"/>
  <c r="P5" i="41"/>
  <c r="O4" i="41"/>
  <c r="O5" i="41"/>
  <c r="P4" i="41"/>
  <c r="Q3" i="41"/>
  <c r="O7" i="41"/>
  <c r="P2" i="41"/>
  <c r="S2" i="41"/>
  <c r="O2" i="41"/>
  <c r="N2" i="41"/>
  <c r="R2" i="41"/>
  <c r="Q2" i="41"/>
  <c r="S2" i="52"/>
  <c r="S5" i="52"/>
  <c r="R6" i="52"/>
  <c r="Q3" i="52"/>
  <c r="P5" i="52"/>
  <c r="N3" i="52"/>
  <c r="Q4" i="52"/>
  <c r="R7" i="52"/>
  <c r="Q6" i="52"/>
  <c r="S3" i="52"/>
  <c r="R3" i="52"/>
  <c r="R4" i="52"/>
  <c r="Q7" i="52"/>
  <c r="N2" i="52"/>
  <c r="P7" i="52"/>
  <c r="N4" i="52"/>
  <c r="O7" i="52"/>
  <c r="P6" i="52"/>
  <c r="R5" i="52"/>
  <c r="P3" i="52"/>
  <c r="R2" i="52"/>
  <c r="O4" i="52"/>
  <c r="Q2" i="52"/>
  <c r="N6" i="52"/>
  <c r="O5" i="52"/>
  <c r="O6" i="52"/>
  <c r="S7" i="52"/>
  <c r="Q5" i="52"/>
  <c r="S6" i="52"/>
  <c r="S4" i="52"/>
  <c r="N7" i="52"/>
  <c r="N5" i="52"/>
  <c r="P2" i="52"/>
  <c r="O3" i="52"/>
  <c r="P4" i="52"/>
  <c r="O2" i="52"/>
  <c r="M7" i="33"/>
  <c r="L7" i="33"/>
  <c r="K7" i="33"/>
  <c r="D7" i="33"/>
  <c r="C7" i="33"/>
  <c r="H7" i="33"/>
  <c r="G7" i="33"/>
  <c r="L4" i="33"/>
  <c r="M4" i="33"/>
  <c r="K4" i="33"/>
  <c r="C4" i="33"/>
  <c r="D4" i="33"/>
  <c r="G4" i="33"/>
  <c r="H4" i="33"/>
  <c r="K3" i="33"/>
  <c r="L3" i="33"/>
  <c r="M3" i="33"/>
  <c r="C3" i="33"/>
  <c r="D3" i="33"/>
  <c r="G3" i="33"/>
  <c r="H3" i="33"/>
  <c r="M6" i="33"/>
  <c r="K6" i="33"/>
  <c r="L6" i="33"/>
  <c r="D6" i="33"/>
  <c r="C6" i="33"/>
  <c r="H6" i="33"/>
  <c r="G6" i="33"/>
  <c r="L5" i="33"/>
  <c r="K5" i="33"/>
  <c r="M5" i="33"/>
  <c r="D5" i="33"/>
  <c r="C5" i="33"/>
  <c r="H5" i="33"/>
  <c r="G5" i="33"/>
  <c r="L2" i="33"/>
  <c r="M2" i="33"/>
  <c r="K2" i="33"/>
  <c r="D2" i="33"/>
  <c r="C2" i="33"/>
  <c r="H2" i="33"/>
  <c r="G2" i="33"/>
  <c r="P3" i="28"/>
  <c r="N3" i="28"/>
  <c r="O3" i="28"/>
  <c r="S3" i="28"/>
  <c r="Q3" i="28"/>
  <c r="R3" i="28"/>
  <c r="S4" i="28"/>
  <c r="O7" i="28"/>
  <c r="O6" i="28"/>
  <c r="P7" i="28"/>
  <c r="O5" i="28"/>
  <c r="S6" i="28"/>
  <c r="N5" i="28"/>
  <c r="N6" i="28"/>
  <c r="O2" i="28"/>
  <c r="S7" i="28"/>
  <c r="S2" i="28"/>
  <c r="P6" i="28"/>
  <c r="P5" i="28"/>
  <c r="O4" i="28"/>
  <c r="R6" i="28"/>
  <c r="N2" i="28"/>
  <c r="P2" i="28"/>
  <c r="Q5" i="28"/>
  <c r="R4" i="28"/>
  <c r="R2" i="28"/>
  <c r="Q7" i="28"/>
  <c r="R5" i="28"/>
  <c r="Q4" i="28"/>
  <c r="Q6" i="28"/>
  <c r="S5" i="28"/>
  <c r="Q2" i="28"/>
  <c r="N7" i="28"/>
  <c r="N4" i="28"/>
  <c r="R7" i="28"/>
  <c r="P4" i="28"/>
  <c r="I30" i="32"/>
  <c r="J29" i="32"/>
  <c r="K29" i="32"/>
  <c r="K28" i="32"/>
  <c r="I29" i="32"/>
  <c r="J28" i="32"/>
  <c r="J22" i="32"/>
  <c r="L21" i="32"/>
  <c r="I20" i="32"/>
  <c r="I28" i="32"/>
  <c r="J30" i="32"/>
  <c r="G20" i="32"/>
  <c r="H30" i="32"/>
  <c r="J21" i="32"/>
  <c r="G28" i="32"/>
  <c r="G30" i="32"/>
  <c r="G29" i="32"/>
  <c r="L29" i="32"/>
  <c r="I22" i="32"/>
  <c r="H21" i="32"/>
  <c r="L22" i="32"/>
  <c r="I21" i="32"/>
  <c r="K30" i="32"/>
  <c r="H29" i="32"/>
  <c r="K20" i="32"/>
  <c r="G22" i="32"/>
  <c r="H20" i="32"/>
  <c r="G21" i="32"/>
  <c r="J20" i="32"/>
  <c r="L20" i="32"/>
  <c r="H28" i="32"/>
  <c r="H22" i="32"/>
  <c r="K22" i="32"/>
  <c r="L28" i="32"/>
  <c r="K21" i="32"/>
  <c r="L30" i="32"/>
  <c r="V7" i="33" l="1"/>
  <c r="V3" i="33"/>
  <c r="V6" i="33"/>
  <c r="V5" i="33"/>
  <c r="V4" i="33"/>
  <c r="V2" i="33"/>
  <c r="U6" i="33"/>
  <c r="U7" i="33"/>
  <c r="U3" i="33"/>
  <c r="U5" i="33"/>
  <c r="U4" i="33"/>
  <c r="U2" i="33"/>
  <c r="T7" i="33"/>
  <c r="T5" i="33"/>
  <c r="T3" i="33"/>
  <c r="T6" i="33"/>
  <c r="T4" i="33"/>
  <c r="T2" i="33"/>
  <c r="O6" i="33"/>
  <c r="R3" i="33"/>
  <c r="P2" i="33"/>
  <c r="O5" i="33"/>
  <c r="Q6" i="33"/>
  <c r="O3" i="33"/>
  <c r="O2" i="33"/>
  <c r="R5" i="33"/>
  <c r="O7" i="33"/>
  <c r="S3" i="33"/>
  <c r="Q2" i="33"/>
  <c r="S4" i="33"/>
  <c r="R7" i="33"/>
  <c r="P3" i="33"/>
  <c r="S2" i="33"/>
  <c r="O4" i="33"/>
  <c r="R6" i="33"/>
  <c r="S7" i="33"/>
  <c r="Q3" i="33"/>
  <c r="S5" i="33"/>
  <c r="Q4" i="33"/>
  <c r="P6" i="33"/>
  <c r="Q7" i="33"/>
  <c r="N3" i="33"/>
  <c r="P5" i="33"/>
  <c r="P4" i="33"/>
  <c r="N6" i="33"/>
  <c r="P7" i="33"/>
  <c r="N2" i="33"/>
  <c r="Q5" i="33"/>
  <c r="R4" i="33"/>
  <c r="S6" i="33"/>
  <c r="N7" i="33"/>
  <c r="R2" i="33"/>
  <c r="N5" i="33"/>
  <c r="N4" i="33"/>
  <c r="H6" i="25" l="1"/>
  <c r="L6" i="25"/>
  <c r="M3" i="25"/>
  <c r="G7" i="25"/>
  <c r="X5" i="25"/>
  <c r="X7" i="25"/>
  <c r="M5" i="25"/>
  <c r="N7" i="25"/>
  <c r="K7" i="25"/>
  <c r="E5" i="25"/>
  <c r="L5" i="25"/>
  <c r="H7" i="25"/>
  <c r="D5" i="25"/>
  <c r="L7" i="25"/>
  <c r="L4" i="25"/>
  <c r="S6" i="25"/>
  <c r="K2" i="25"/>
  <c r="L2" i="25"/>
  <c r="X2" i="25"/>
  <c r="T7" i="25"/>
  <c r="T4" i="25"/>
  <c r="N3" i="25"/>
  <c r="R7" i="25"/>
  <c r="X3" i="25"/>
  <c r="F4" i="25"/>
  <c r="R3" i="25"/>
  <c r="N2" i="25"/>
  <c r="S7" i="25"/>
  <c r="D2" i="25"/>
  <c r="M2" i="25"/>
  <c r="C3" i="25"/>
  <c r="C6" i="25"/>
  <c r="F6" i="25"/>
  <c r="T2" i="25"/>
  <c r="D4" i="25"/>
  <c r="K6" i="25"/>
  <c r="E2" i="25"/>
  <c r="C2" i="25"/>
  <c r="X4" i="25"/>
  <c r="H2" i="25"/>
  <c r="S3" i="25"/>
  <c r="G2" i="25"/>
  <c r="G4" i="25"/>
  <c r="E3" i="25"/>
  <c r="G3" i="25"/>
  <c r="H3" i="25"/>
  <c r="T5" i="25"/>
  <c r="D7" i="25"/>
  <c r="F7" i="25"/>
  <c r="K5" i="25"/>
  <c r="R4" i="25"/>
  <c r="G5" i="25"/>
  <c r="R2" i="25"/>
  <c r="X6" i="25"/>
  <c r="E7" i="25"/>
  <c r="C7" i="25"/>
  <c r="R5" i="25"/>
  <c r="C4" i="25"/>
  <c r="M4" i="25"/>
  <c r="D3" i="25"/>
  <c r="T3" i="25"/>
  <c r="F3" i="25"/>
  <c r="K4" i="25"/>
  <c r="H5" i="25"/>
  <c r="M6" i="25"/>
  <c r="L3" i="25"/>
  <c r="C5" i="25"/>
  <c r="S2" i="25"/>
  <c r="T6" i="25"/>
  <c r="D6" i="25"/>
  <c r="N5" i="25"/>
  <c r="S5" i="25"/>
  <c r="F5" i="25"/>
  <c r="S4" i="25"/>
  <c r="H4" i="25"/>
  <c r="R6" i="25"/>
  <c r="F2" i="25"/>
  <c r="K3" i="25"/>
  <c r="E6" i="25"/>
  <c r="E4" i="25"/>
  <c r="G6" i="25"/>
  <c r="M7" i="25"/>
  <c r="N4" i="25"/>
  <c r="N6" i="25"/>
  <c r="I7" i="25"/>
  <c r="I3" i="25"/>
  <c r="I2" i="25"/>
  <c r="I4" i="25"/>
  <c r="I5" i="25"/>
  <c r="I6" i="25"/>
  <c r="Q5" i="25" l="1"/>
  <c r="Q4" i="25"/>
  <c r="W2" i="25"/>
  <c r="U5" i="25"/>
  <c r="U4" i="25"/>
  <c r="V4" i="25"/>
  <c r="Q2" i="25"/>
  <c r="V6" i="25"/>
  <c r="W4" i="25"/>
  <c r="O7" i="25"/>
  <c r="P4" i="25"/>
  <c r="P3" i="25"/>
  <c r="V7" i="25"/>
  <c r="O5" i="25"/>
  <c r="U6" i="25"/>
  <c r="V2" i="25"/>
  <c r="O3" i="25"/>
  <c r="Q6" i="25"/>
  <c r="W6" i="25"/>
  <c r="O6" i="25"/>
  <c r="P2" i="25"/>
  <c r="P5" i="25"/>
  <c r="W5" i="25"/>
  <c r="V5" i="25"/>
  <c r="V3" i="25"/>
  <c r="U2" i="25"/>
  <c r="P6" i="25"/>
  <c r="O4" i="25"/>
  <c r="P7" i="25"/>
  <c r="U3" i="25"/>
  <c r="O2" i="25"/>
  <c r="Q3" i="25"/>
  <c r="W3" i="25"/>
  <c r="U7" i="25"/>
  <c r="Q7" i="25"/>
  <c r="W7" i="25"/>
</calcChain>
</file>

<file path=xl/sharedStrings.xml><?xml version="1.0" encoding="utf-8"?>
<sst xmlns="http://schemas.openxmlformats.org/spreadsheetml/2006/main" count="2631" uniqueCount="445">
  <si>
    <t>Item</t>
  </si>
  <si>
    <t>Units</t>
  </si>
  <si>
    <t>MW</t>
  </si>
  <si>
    <t>K - Long Island</t>
  </si>
  <si>
    <t>F - Capital</t>
  </si>
  <si>
    <t>C - Central</t>
  </si>
  <si>
    <t>Variable Cost per Start</t>
  </si>
  <si>
    <t>EFORd outage rate</t>
  </si>
  <si>
    <t>MMBtu/Start</t>
  </si>
  <si>
    <t>$/Start</t>
  </si>
  <si>
    <t>$/MWh</t>
  </si>
  <si>
    <t>Btu/kWh</t>
  </si>
  <si>
    <t>%</t>
  </si>
  <si>
    <t>Performance Values (per unit)</t>
  </si>
  <si>
    <t>Net Plant Heat Rate - Summer</t>
  </si>
  <si>
    <t>Net Plant Heat Rate - Winter</t>
  </si>
  <si>
    <t>lb/hr</t>
  </si>
  <si>
    <t>ULSD Emission Rates - Winter</t>
  </si>
  <si>
    <t>Natural Gas Emission Rates - Summer</t>
  </si>
  <si>
    <t>Natural Gas Emission Rates - Winter</t>
  </si>
  <si>
    <t xml:space="preserve"> Fixed and Variable O&amp;M Costs (per unit)</t>
  </si>
  <si>
    <t>Other Performance Values (per unit)</t>
  </si>
  <si>
    <t>G - LHV (Dutchess)</t>
  </si>
  <si>
    <t>G - LHV (Rockland)</t>
  </si>
  <si>
    <t>Variable Cost per Hour - NG Firing</t>
  </si>
  <si>
    <t>Variable Cost per Hour - ULSD Firing</t>
  </si>
  <si>
    <t>Yes</t>
  </si>
  <si>
    <r>
      <t>NO</t>
    </r>
    <r>
      <rPr>
        <vertAlign val="subscript"/>
        <sz val="10"/>
        <color theme="1"/>
        <rFont val="Times New Roman"/>
        <family val="1"/>
      </rPr>
      <t>X</t>
    </r>
    <r>
      <rPr>
        <sz val="10"/>
        <color theme="1"/>
        <rFont val="Times New Roman"/>
        <family val="1"/>
      </rPr>
      <t xml:space="preserve"> Emissions Rate</t>
    </r>
  </si>
  <si>
    <r>
      <t>SO</t>
    </r>
    <r>
      <rPr>
        <vertAlign val="subscript"/>
        <sz val="10"/>
        <color theme="1"/>
        <rFont val="Times New Roman"/>
        <family val="1"/>
      </rPr>
      <t xml:space="preserve">2 </t>
    </r>
    <r>
      <rPr>
        <sz val="10"/>
        <color theme="1"/>
        <rFont val="Times New Roman"/>
        <family val="1"/>
      </rPr>
      <t>Emissions Rate</t>
    </r>
  </si>
  <si>
    <r>
      <t>CO</t>
    </r>
    <r>
      <rPr>
        <vertAlign val="subscript"/>
        <sz val="10"/>
        <color theme="1"/>
        <rFont val="Times New Roman"/>
        <family val="1"/>
      </rPr>
      <t>2</t>
    </r>
    <r>
      <rPr>
        <sz val="10"/>
        <color theme="1"/>
        <rFont val="Times New Roman"/>
        <family val="1"/>
      </rPr>
      <t xml:space="preserve"> Emissions Rate</t>
    </r>
  </si>
  <si>
    <t>J - NYC</t>
  </si>
  <si>
    <t>C</t>
  </si>
  <si>
    <t>F</t>
  </si>
  <si>
    <t>J</t>
  </si>
  <si>
    <t>K</t>
  </si>
  <si>
    <t>STARTUP_FUEL_F</t>
  </si>
  <si>
    <t>EFORd_F</t>
  </si>
  <si>
    <t>AREA</t>
  </si>
  <si>
    <t>G2</t>
  </si>
  <si>
    <t>HR_SUM_F</t>
  </si>
  <si>
    <t>HR_WIN_F</t>
  </si>
  <si>
    <t>VOC_NG_F</t>
  </si>
  <si>
    <t>VOC_OIL_F</t>
  </si>
  <si>
    <t>NOX_NG_SUM_F</t>
  </si>
  <si>
    <t>SO2_NG_SUM_F</t>
  </si>
  <si>
    <t>CO2_NG_SUM_F</t>
  </si>
  <si>
    <t>NOX_NG_WIN_F</t>
  </si>
  <si>
    <t>SO2_NG_WIN_F</t>
  </si>
  <si>
    <t>CO2_NG_WIN_F</t>
  </si>
  <si>
    <t>NOX_OIL_SUM_F</t>
  </si>
  <si>
    <t>SO2_OIL_SUM_F</t>
  </si>
  <si>
    <t>CO2_OIL_SUM_F</t>
  </si>
  <si>
    <t>NOX_OIL_WIN_F</t>
  </si>
  <si>
    <t>SO2_OIL_WIN_F</t>
  </si>
  <si>
    <t>CO2_OIL_WIN_F</t>
  </si>
  <si>
    <t>TECH_PARAMS</t>
  </si>
  <si>
    <t>G1</t>
  </si>
  <si>
    <r>
      <t>Fuel Required per Start (regular start -</t>
    </r>
    <r>
      <rPr>
        <b/>
        <sz val="10"/>
        <color rgb="FFFF0000"/>
        <rFont val="Times New Roman"/>
        <family val="1"/>
      </rPr>
      <t xml:space="preserve"> </t>
    </r>
    <r>
      <rPr>
        <sz val="10"/>
        <rFont val="Times New Roman"/>
        <family val="1"/>
      </rPr>
      <t>21</t>
    </r>
    <r>
      <rPr>
        <b/>
        <sz val="10"/>
        <color rgb="FFFF0000"/>
        <rFont val="Times New Roman"/>
        <family val="1"/>
      </rPr>
      <t xml:space="preserve"> </t>
    </r>
    <r>
      <rPr>
        <sz val="10"/>
        <color theme="1"/>
        <rFont val="Times New Roman"/>
        <family val="1"/>
      </rPr>
      <t>min. to full load)</t>
    </r>
  </si>
  <si>
    <t>ns10min_f</t>
  </si>
  <si>
    <t>rt_limit_f_scr</t>
  </si>
  <si>
    <t>ZONE K</t>
  </si>
  <si>
    <t>ZONE J</t>
  </si>
  <si>
    <t>ZONE G - Dutchess</t>
  </si>
  <si>
    <t>ZONE G - Rockland</t>
  </si>
  <si>
    <t>ZONE F</t>
  </si>
  <si>
    <t>ZONE C</t>
  </si>
  <si>
    <t>Net Plant Output</t>
  </si>
  <si>
    <t xml:space="preserve">  Net Plant Output, kW</t>
  </si>
  <si>
    <t>Net Plant Heat Rate, Btu/kWh (HHV)</t>
  </si>
  <si>
    <t>Summer</t>
  </si>
  <si>
    <t>Winter</t>
  </si>
  <si>
    <t xml:space="preserve">  Net Plant Heat Rate, Btu/kWh (HHV)</t>
  </si>
  <si>
    <t xml:space="preserve">NOX </t>
  </si>
  <si>
    <t>SO2</t>
  </si>
  <si>
    <t>CO2</t>
  </si>
  <si>
    <t>Sheet</t>
  </si>
  <si>
    <t>NYISO DCR TECHNOLOGY ASSESSMENT</t>
  </si>
  <si>
    <t>SIMPLE CYCLE FRAME J-CLASS (GE HA.02)</t>
  </si>
  <si>
    <t>PRELIMINARY AND CONFIDENTIAL - NOT FOR CONSTRUCTION</t>
  </si>
  <si>
    <t>PROJECT TYPE</t>
  </si>
  <si>
    <t>BASE PLANT DESCRIPTION</t>
  </si>
  <si>
    <t>Number of Gas Turbines</t>
  </si>
  <si>
    <t>Representative Class Gas Turbine</t>
  </si>
  <si>
    <t>GE 7HA.02</t>
  </si>
  <si>
    <t>Startup Time to Base Load, min</t>
  </si>
  <si>
    <t>10 fast / 30 conventional</t>
  </si>
  <si>
    <t>Startup Time to MECL, min</t>
  </si>
  <si>
    <t>8 fast / 24 conventional</t>
  </si>
  <si>
    <t>Cold Startup Time to SCR Compliance, min</t>
  </si>
  <si>
    <t xml:space="preserve">Equivalent Forced Outage Rate Demand, % </t>
  </si>
  <si>
    <t>Assumed Land Use During Operation, Acres (Not Construction Land Use)</t>
  </si>
  <si>
    <t>Fuel Design</t>
  </si>
  <si>
    <t>Dual Fuel (Natural Gas and Fuel Oil)</t>
  </si>
  <si>
    <t>Inlet Conditioning</t>
  </si>
  <si>
    <t>Evaporative Cooler</t>
  </si>
  <si>
    <t>Heat Rejection</t>
  </si>
  <si>
    <t>Fin Fan Heat Exchanger</t>
  </si>
  <si>
    <t>NOx Control</t>
  </si>
  <si>
    <t>Water Injection and SCR</t>
  </si>
  <si>
    <t>CO Control</t>
  </si>
  <si>
    <t>CO Catalyst</t>
  </si>
  <si>
    <t>Particulate Control</t>
  </si>
  <si>
    <t>Good Combustion Practice</t>
  </si>
  <si>
    <t>Interconnection Voltage, kV</t>
  </si>
  <si>
    <t>Technology Rating</t>
  </si>
  <si>
    <t>Mature</t>
  </si>
  <si>
    <t>Permitting &amp; Construction Schedule (Years from FNTP)</t>
  </si>
  <si>
    <t>ESTIMATED PERFORMANCE (All BASED ON NATURAL GAS OPERATION)</t>
  </si>
  <si>
    <t xml:space="preserve">Summer Performance </t>
  </si>
  <si>
    <t xml:space="preserve">  Ambient Temperature, °F</t>
  </si>
  <si>
    <t xml:space="preserve">  Relative Humidity, %</t>
  </si>
  <si>
    <t xml:space="preserve">  Heat Input, MMBtu/h (HHV)</t>
  </si>
  <si>
    <t xml:space="preserve">  Min Load Plant Output, kW</t>
  </si>
  <si>
    <t xml:space="preserve">  Min Load Net Plant Heat Rate, Btu/kWh (HHV)</t>
  </si>
  <si>
    <t xml:space="preserve">  Min LoadHeat Input, MMBtu/h (HHV)</t>
  </si>
  <si>
    <t xml:space="preserve">Winter Performance </t>
  </si>
  <si>
    <t xml:space="preserve">Spring-Fall (ISO) Performance </t>
  </si>
  <si>
    <t xml:space="preserve">Summer DMNC Performance </t>
  </si>
  <si>
    <t>Winter DMNC Performance</t>
  </si>
  <si>
    <t xml:space="preserve">ICAP Performance </t>
  </si>
  <si>
    <t>ESTIMATED STARTUP FUEL USAGE</t>
  </si>
  <si>
    <t>Start to Base Load, MMBtu</t>
  </si>
  <si>
    <t>240 (fast) / 490 (typ)</t>
  </si>
  <si>
    <t>ESTIMATED CAPITAL AND O&amp;M COSTS</t>
  </si>
  <si>
    <t>EPC Project Capital Costs, 2020 MM$ (w/o Owner's Costs)</t>
  </si>
  <si>
    <t xml:space="preserve">Labor </t>
  </si>
  <si>
    <t>Materials</t>
  </si>
  <si>
    <t>Turbines or Batteries</t>
  </si>
  <si>
    <t>Other</t>
  </si>
  <si>
    <t>Owner's Cost Allowances, 2020 MM$</t>
  </si>
  <si>
    <t>Owner's Project Development</t>
  </si>
  <si>
    <t>Owner's Operational Personnel Prior to COD</t>
  </si>
  <si>
    <t>Owner's Engineer</t>
  </si>
  <si>
    <t>Owner's Project Management</t>
  </si>
  <si>
    <t>Owner's Legal Costs</t>
  </si>
  <si>
    <t>Owner's Start-up Engineering and Commissioning</t>
  </si>
  <si>
    <t>Sales Tax</t>
  </si>
  <si>
    <t>Construction Power and Water</t>
  </si>
  <si>
    <t>Permitting and Licensing Fees</t>
  </si>
  <si>
    <t>Switchyard</t>
  </si>
  <si>
    <t>Electrical Interconnection and Deliverability</t>
  </si>
  <si>
    <t>Gas Interconnection and Reinforcement</t>
  </si>
  <si>
    <t>System Deliverability Upgrade Costs</t>
  </si>
  <si>
    <t>Emission Reduction Credits</t>
  </si>
  <si>
    <t>Political Concessions &amp; Area Development Fees</t>
  </si>
  <si>
    <t>Startup/Testing (Fuel &amp; Consumables)</t>
  </si>
  <si>
    <t>Initial Fuel Inventory</t>
  </si>
  <si>
    <t>Site Security</t>
  </si>
  <si>
    <t>Operating Spare Parts</t>
  </si>
  <si>
    <t>Builders Risk Insurance (0.45% of Construction Costs)</t>
  </si>
  <si>
    <t>Owner's Contingency (5% for Screening Purposes)</t>
  </si>
  <si>
    <t>EPC Portion</t>
  </si>
  <si>
    <t>Non-EPC Portion</t>
  </si>
  <si>
    <t>Total Project Costs, 2020 MM$</t>
  </si>
  <si>
    <t>EPC Cost Per kW, 2020 $/kW (Based on ICAP kW)</t>
  </si>
  <si>
    <t>Total Cost Per kW, 2020 $/kW (Based on ICAP kW)</t>
  </si>
  <si>
    <t xml:space="preserve">FIXED O&amp;M COSTS </t>
  </si>
  <si>
    <t>Fixed O&amp;M Cost - LABOR, 2020$MM/Yr</t>
  </si>
  <si>
    <t>Fixed O&amp;M Cost - OTHER, 2020$MM/Yr</t>
  </si>
  <si>
    <t>Site Leasing Allowance, 2020$/MM/Yr</t>
  </si>
  <si>
    <t>Property Insurance Allowance, 2020$MM/Yr</t>
  </si>
  <si>
    <t>LEVELIZED MAJOR MAINTENANCE COSTS</t>
  </si>
  <si>
    <t>Major Maintenance Cost, 2020$/GT-hr or $/engine-hr</t>
  </si>
  <si>
    <t>Major Maintenance Cost, 2020$/GT-start</t>
  </si>
  <si>
    <t>Major Maintenance Cost, 2020$/MWh</t>
  </si>
  <si>
    <t>NON-FUEL VARIABLE O&amp;M COSTS (EXCLUDES MAJOR MAINTENANCE) - GAS OPERATION</t>
  </si>
  <si>
    <t>Total Variable O&amp;M Cost, 2020$/MWh</t>
  </si>
  <si>
    <t>Water Related O&amp;M, $/MWh</t>
  </si>
  <si>
    <t>SCR Related Costs, $/MWh</t>
  </si>
  <si>
    <t>Other Consumables and Variable O&amp;M, $/MWh</t>
  </si>
  <si>
    <t>NON-FUEL VARIABLE O&amp;M COSTS (EXCLUDES MAJOR MAINTENANCE) - FUEL OIL OPERATION</t>
  </si>
  <si>
    <t>CAPITAL COST DEDUCT FOR GAS ONLY</t>
  </si>
  <si>
    <t>Capital Costs, 2020 MM$</t>
  </si>
  <si>
    <t>Owner's Costs, 2020 MM$</t>
  </si>
  <si>
    <t xml:space="preserve">CAPITAL COST DEDUCT TO REMOVE SCR/CO </t>
  </si>
  <si>
    <t>ESTIMATED BASE LOAD OPERATING EMISSIONS: NATURAL GAS</t>
  </si>
  <si>
    <t>All GTs Operating, NO SCR / CO Catalyst (lb/hr, HHV)</t>
  </si>
  <si>
    <r>
      <t>NO</t>
    </r>
    <r>
      <rPr>
        <vertAlign val="subscript"/>
        <sz val="10"/>
        <rFont val="Arial"/>
        <family val="2"/>
      </rPr>
      <t xml:space="preserve">X </t>
    </r>
  </si>
  <si>
    <r>
      <t>SO</t>
    </r>
    <r>
      <rPr>
        <vertAlign val="subscript"/>
        <sz val="10"/>
        <rFont val="Arial"/>
        <family val="2"/>
      </rPr>
      <t>2</t>
    </r>
  </si>
  <si>
    <t>CO</t>
  </si>
  <si>
    <r>
      <t>CO</t>
    </r>
    <r>
      <rPr>
        <vertAlign val="subscript"/>
        <sz val="10"/>
        <rFont val="Arial"/>
        <family val="2"/>
      </rPr>
      <t>2</t>
    </r>
  </si>
  <si>
    <t>All GTs with SCR and CO Catalyst (lb/hr, HHV)</t>
  </si>
  <si>
    <t xml:space="preserve">ESTIMATED BASE LOAD OPERATING EMISSIONS: ULTRA-LOW SULFUR FUEL OIL </t>
  </si>
  <si>
    <t>Notes</t>
  </si>
  <si>
    <t xml:space="preserve">Note 1:  Capital cost assumes EPC full wrap methodology.  Electrical scope ends at the high side of the GSU.  Assumes gas, water, sewer, communications are available at plant fenceline.  </t>
  </si>
  <si>
    <t xml:space="preserve">Note 2:  Simple cycle GT starts are not affected by hot, warm or cold conditions.  Simple cycle starts assume purge credits are available.  </t>
  </si>
  <si>
    <t>Note 3:  MECL start time assumes the min load at which the GT achieves the steady state NOx emissions ppm rate.  The SCR compliance start time assumes a cold start, ending at the time when the catalysts are heated and the NOx levels meet the desired SCR emissions.</t>
  </si>
  <si>
    <t xml:space="preserve">Note 4:  Outage and availability statistics are collected using the NERC Generating Availability Data System.  Simple cycle data is based on North American units that came online in 2010 or later.  Reporting period is 2012-2019.  </t>
  </si>
  <si>
    <t>Note 5:  Degraded performance assumed for all scenarios.  For frame units, 3% average degradation is assumed.  All performance ratings based on NATURAL GAS operation.  Minimum loads are based on OEM information at requested ambient conditions.</t>
  </si>
  <si>
    <t>Note 6:  Assumes incoming gas pressure of 250 psig.  Compression included in EPC scope. Owner's costs include 5 miles pipeline for all zones except Zone J, which assumes 1 mile.  12" pipeline for aero and F class.  16" pipeline for J class.</t>
  </si>
  <si>
    <t xml:space="preserve">Note 7:  Capital and fixed O&amp;M costs are presented in 2020 USD $MM.  </t>
  </si>
  <si>
    <t xml:space="preserve">Note 8: FOM costs assume 7 full time personnel.  FOM costs do not include engine lease fees that may be available with LTSA, depending on OEM.  </t>
  </si>
  <si>
    <t xml:space="preserve">Note 9:  Major maintenance $/hr holds for all aero gas turbines.  Major maintenance $/hr holds for frame gas turbines where hours per start is &gt;27.  </t>
  </si>
  <si>
    <t>Note 10: VOM assumes the use of temporarily trailers for demineralized water treatment.</t>
  </si>
  <si>
    <t xml:space="preserve">Note 11: Emissions estimates are shown for steady state operation at annual average conditions.  </t>
  </si>
  <si>
    <t xml:space="preserve">Note 12: Fuel Oil emissions based on ultra low sulfur diesel.  Per the US EPA, this fuel must meet 15 ppm sulfur.  </t>
  </si>
  <si>
    <t>Note 13:  Estimated Costs exclude decommisioning costs and salvage values.</t>
  </si>
  <si>
    <t>Section Row # Start</t>
  </si>
  <si>
    <t>Section Row # End</t>
  </si>
  <si>
    <t>Variable</t>
  </si>
  <si>
    <t>SIMPLE CYCLE FRAME F-CLASS</t>
  </si>
  <si>
    <t>GE 7F.05</t>
  </si>
  <si>
    <t>140 (fast) / 325 (typ)</t>
  </si>
  <si>
    <t>Raw_F-Class</t>
  </si>
  <si>
    <t>SIMPLE CYCLE AERODERIVATIVE SIEMENS SGT-A65</t>
  </si>
  <si>
    <t>Siemens SGT-A65 WLE</t>
  </si>
  <si>
    <t>Start to Base Load, MMBtu (includes all GTs)</t>
  </si>
  <si>
    <t>Site Leasing Allowance, 2020$MM/Yr</t>
  </si>
  <si>
    <t>N/A</t>
  </si>
  <si>
    <t>Note 5:  Degraded performance assumed for all scenarios.  For Siemens A65, 2.5% average degradation is assumed.  All performance ratings based on NATURAL GAS operation.  Minimum loads are based on OEM information at requested ambient conditions.</t>
  </si>
  <si>
    <t>COMBINED CYCLE 1x1 GE HA.02</t>
  </si>
  <si>
    <t>PROJECT ZONE:</t>
  </si>
  <si>
    <t>1x1 GE HA.02</t>
  </si>
  <si>
    <t>Number of Steam Turbines</t>
  </si>
  <si>
    <t>Steam Conditions (Main Steam / Reheat)</t>
  </si>
  <si>
    <t>1,085°F / 1,085°F</t>
  </si>
  <si>
    <t>Main Steam Pressure</t>
  </si>
  <si>
    <t>Steam Cycle Type</t>
  </si>
  <si>
    <t>Subcritical</t>
  </si>
  <si>
    <t>Startup Time, Minutes (Cold Start to Unfired Base Load)</t>
  </si>
  <si>
    <t>Startup Time, Minutes (Warm Start to Unfired Base Load)</t>
  </si>
  <si>
    <t>Startup Time, Minutes (Hot Start to Unfired Base Load)</t>
  </si>
  <si>
    <t xml:space="preserve">Startup Time, Minutes (Cold Start to Stack Emissions Compliance) </t>
  </si>
  <si>
    <t>Air Cooled Condenser (ACC)</t>
  </si>
  <si>
    <r>
      <t>NO</t>
    </r>
    <r>
      <rPr>
        <vertAlign val="subscript"/>
        <sz val="12"/>
        <rFont val="Arial"/>
        <family val="2"/>
      </rPr>
      <t>x</t>
    </r>
    <r>
      <rPr>
        <sz val="12"/>
        <rFont val="Arial"/>
        <family val="2"/>
      </rPr>
      <t xml:space="preserve"> Control</t>
    </r>
  </si>
  <si>
    <t>DLN/SCR</t>
  </si>
  <si>
    <t>Oxidation Catalyst</t>
  </si>
  <si>
    <t xml:space="preserve">ESTIMATED PERFORMANCE </t>
  </si>
  <si>
    <t>Base Load Performance @ ICAP: 90 °F | 70% RH (Nominal)</t>
  </si>
  <si>
    <t>Incremental Duct Fired Performance @ ICAP: 90 °F | 70% RH (Nominal)</t>
  </si>
  <si>
    <t xml:space="preserve">  Incremental Duct Fired Output, kW</t>
  </si>
  <si>
    <t xml:space="preserve">  Incremental Heat Rate, Btu/kWh (HHV)</t>
  </si>
  <si>
    <t xml:space="preserve">  Incremental Heat Input, MMBtu/h (HHV)</t>
  </si>
  <si>
    <t>Minimum Load (Single Turbine at MECL) @ ICAP: 90 °F | 70% RH (Nominal)</t>
  </si>
  <si>
    <t>Base Load Performance @ Winter DMNC</t>
  </si>
  <si>
    <t>Incremental Duct Fired Performance @ Winter DMNC</t>
  </si>
  <si>
    <t>Minimum Load (Single Turbine at MECL) @ Winter DMNC</t>
  </si>
  <si>
    <t>Base Load Performance @ Winter</t>
  </si>
  <si>
    <t>Incremental Duct Fired Performance @ Winter</t>
  </si>
  <si>
    <t>Minimum Load (Single Turbine at MECL) @ Winter</t>
  </si>
  <si>
    <t>Base Load Performance @ Spring / Fall</t>
  </si>
  <si>
    <t xml:space="preserve">Incremental Unfired Performance with Evaporative Coolers @ Spring / Fall </t>
  </si>
  <si>
    <t xml:space="preserve">  Incremental Output with Evap Coolers, kW</t>
  </si>
  <si>
    <t xml:space="preserve">  Net Plant Heat Rate with Evap Coolers, Btu/kWh (HHV)</t>
  </si>
  <si>
    <t>Incremental Duct Fired Performance with Evaporative Coolers @ Spring / Fall</t>
  </si>
  <si>
    <t>Minimum Load (Single Turbine at MECL) @ Spring / Fall</t>
  </si>
  <si>
    <t>Base Load Performance @ Summer</t>
  </si>
  <si>
    <t>Incremental Duct Fired Performance @ Summer</t>
  </si>
  <si>
    <t>Minimum Load (Single Turbine at MECL) @ Summer</t>
  </si>
  <si>
    <t>Base Load Performance @ Summer DMNC</t>
  </si>
  <si>
    <t xml:space="preserve">Incremental Unfired Performance with Evaporative Coolers @ Summer DMNC </t>
  </si>
  <si>
    <t xml:space="preserve">  Incremental Heat Rate with Evap Coolers, Btu/kWh (HHV)</t>
  </si>
  <si>
    <t xml:space="preserve">Incremental Fired Performance with Evaporative Coolers @ Summer DMNC </t>
  </si>
  <si>
    <t>Minimum Load (Single Turbine at MECL) @ Summer DMNC</t>
  </si>
  <si>
    <t>Start to Unfired Base Load, MMBtu (WARM Start)</t>
  </si>
  <si>
    <t>FIXED O&amp;M COSTS</t>
  </si>
  <si>
    <t>LEVELIZED CAPITAL MAINTENANCE COSTS</t>
  </si>
  <si>
    <t>Water Related O&amp;M ($/MWh)</t>
  </si>
  <si>
    <t>Other Consumables and Variable O&amp;M ($/MWh)</t>
  </si>
  <si>
    <t>SCR Reagent, $/MWh</t>
  </si>
  <si>
    <t>ESTIMATED BASE LOAD OPERATING EMISSIONS,  lb/MMBtu (HHV)</t>
  </si>
  <si>
    <r>
      <t>NO</t>
    </r>
    <r>
      <rPr>
        <vertAlign val="subscript"/>
        <sz val="10"/>
        <rFont val="Arial"/>
        <family val="2"/>
      </rPr>
      <t>X</t>
    </r>
  </si>
  <si>
    <t>Note 1:  Capital cost assumes EPC full wrap methodology.  Electrical scope ends at the high side of the GSU.  Assumes gas, water, sewer, communications are available at plant fenceline.  CCGT unit includes duct firing capability.</t>
  </si>
  <si>
    <t>Note 2: Performance ratings were determined using heat balance modeling software.  Performance is based on 1.8% average degradation for capacity and 1.1% average degradation for heat rate.  All performance is based on NATURAL GAS operation.  Min load ratings are based on OEM performance information at specified ambient conditions.</t>
  </si>
  <si>
    <t>Note 3: Variable O&amp;M costs are based on performance at annual average conditions.</t>
  </si>
  <si>
    <t xml:space="preserve">Note 4: Capital and fixed O&amp;M costs are presented in 2020 USD $MM.  </t>
  </si>
  <si>
    <t xml:space="preserve">Note 5: Major maintenance $/hr holds for frame gas turbines where hours per start is &gt;27.  </t>
  </si>
  <si>
    <t>Note 6: The duct firing incremental values note incremental performance output. The incremental heat rate reflects the effective heat rate of the additional output due to the duct burners.</t>
  </si>
  <si>
    <t>Note 7: Startup time to stack emissions compliance is not the same as the start time for gas turbine MECL.  Stack emissions compliance is expected to be limited by the temperature of the CO catalyst, which impacts VOC emissions.</t>
  </si>
  <si>
    <t>Note 8: Outage and availability statistics are collected using the NERC Generating Availability Data System.  Combined cycle data is based on North American units that came online in 2010 or later.  Reporting period is 2012-2019.</t>
  </si>
  <si>
    <t>Note 9: Cold start is &gt;72 hours after shutdown.  Hot start is &lt;8 hours after shutdown.</t>
  </si>
  <si>
    <t xml:space="preserve">Note 10: Startup times reflect unrestricted, conventional starts for all gas turbines. These start times assume the inclusion of terminal point desuperheaters, full bypass, and associated controls.  Fast start packages are not included in CCGT plants.  </t>
  </si>
  <si>
    <t xml:space="preserve">Note 14: Fixed O&amp;M assumes 22 FTE for a 1x1 configuration.  </t>
  </si>
  <si>
    <t>Note 15: Variable O&amp;M costs assume onsite demineralized water treatment system (included in EPC cost).</t>
  </si>
  <si>
    <t>Note 16: Emissions estimates are shown for steady state operation at annual average conditions.  Estimates account for the impacts of SCR and CO catalysts.</t>
  </si>
  <si>
    <t>Note 17:  Estimated costs exclude decommisioning costs and salvage values.</t>
  </si>
  <si>
    <t>Raw_Aeroderivative</t>
  </si>
  <si>
    <r>
      <t>Fuel Required per Start (regular start -</t>
    </r>
    <r>
      <rPr>
        <b/>
        <sz val="10"/>
        <color rgb="FFFF0000"/>
        <rFont val="Times New Roman"/>
        <family val="1"/>
      </rPr>
      <t xml:space="preserve"> </t>
    </r>
    <r>
      <rPr>
        <sz val="10"/>
        <rFont val="Times New Roman"/>
        <family val="1"/>
      </rPr>
      <t>30</t>
    </r>
    <r>
      <rPr>
        <b/>
        <sz val="10"/>
        <color rgb="FFFF0000"/>
        <rFont val="Times New Roman"/>
        <family val="1"/>
      </rPr>
      <t xml:space="preserve"> </t>
    </r>
    <r>
      <rPr>
        <sz val="10"/>
        <color theme="1"/>
        <rFont val="Times New Roman"/>
        <family val="1"/>
      </rPr>
      <t>min. to full load)</t>
    </r>
  </si>
  <si>
    <t>Variable 1</t>
  </si>
  <si>
    <t>Variable 2</t>
  </si>
  <si>
    <t>Raw_J-Class_CC</t>
  </si>
  <si>
    <t>NOX</t>
  </si>
  <si>
    <t>Net Plant Output (MECL)</t>
  </si>
  <si>
    <t>Net Plant Heat Rate (HHV) (MECL)</t>
  </si>
  <si>
    <t>Net Plant Heat Rate (HHV)</t>
  </si>
  <si>
    <t>HR_SUM_AERO</t>
  </si>
  <si>
    <t>HR_WIN_AERO</t>
  </si>
  <si>
    <t>VOC_NG_AERO</t>
  </si>
  <si>
    <t>VOC_OIL_AERO</t>
  </si>
  <si>
    <t>STARTUP_FUEL_AERO</t>
  </si>
  <si>
    <t>NOX_NG_SUM_AERO</t>
  </si>
  <si>
    <t>SO2_NG_SUM_AERO</t>
  </si>
  <si>
    <t>CO2_NG_SUM_AERO</t>
  </si>
  <si>
    <t>NOX_NG_WIN_AERO</t>
  </si>
  <si>
    <t>SO2_NG_WIN_AERO</t>
  </si>
  <si>
    <t>CO2_NG_WIN_AERO</t>
  </si>
  <si>
    <t>NOX_OIL_SUM_AERO</t>
  </si>
  <si>
    <t>SO2_OIL_SUM_AERO</t>
  </si>
  <si>
    <t>CO2_OIL_SUM_AERO</t>
  </si>
  <si>
    <t>NOX_OIL_WIN_AERO</t>
  </si>
  <si>
    <t>SO2_OIL_WIN_AERO</t>
  </si>
  <si>
    <t>CO2_OIL_WIN_AERO</t>
  </si>
  <si>
    <t>EFORd_AERO</t>
  </si>
  <si>
    <t>HR_SUM_CCJ</t>
  </si>
  <si>
    <t>HR_WIN_CCJ</t>
  </si>
  <si>
    <t>VOC_NG_CCJ</t>
  </si>
  <si>
    <t>VOC_OIL_CCJ</t>
  </si>
  <si>
    <t>STARTUP_FUEL_CCJ</t>
  </si>
  <si>
    <t>NOX_NG_SUM_CCJ</t>
  </si>
  <si>
    <t>SO2_NG_SUM_CCJ</t>
  </si>
  <si>
    <t>CO2_NG_SUM_CCJ</t>
  </si>
  <si>
    <t>NOX_NG_WIN_CCJ</t>
  </si>
  <si>
    <t>SO2_NG_WIN_CCJ</t>
  </si>
  <si>
    <t>CO2_NG_WIN_CCJ</t>
  </si>
  <si>
    <t>NOX_OIL_SUM_CCJ</t>
  </si>
  <si>
    <t>SO2_OIL_SUM_CCJ</t>
  </si>
  <si>
    <t>CO2_OIL_SUM_CCJ</t>
  </si>
  <si>
    <t>NOX_OIL_WIN_CCJ</t>
  </si>
  <si>
    <t>SO2_OIL_WIN_CCJ</t>
  </si>
  <si>
    <t>CO2_OIL_WIN_CCJ</t>
  </si>
  <si>
    <t>EFORd_CCJ</t>
  </si>
  <si>
    <t>HR_SUM_MIN_CCJ</t>
  </si>
  <si>
    <t>HR_WIN_MIN_CCJ</t>
  </si>
  <si>
    <t>ns10min_aero</t>
  </si>
  <si>
    <t>rt_limit_aero_scr</t>
  </si>
  <si>
    <t>ULSD Emission Rates - Summer</t>
  </si>
  <si>
    <t>Raw_J-Class25ppm</t>
  </si>
  <si>
    <t>HR_SUM_J25</t>
  </si>
  <si>
    <t>HR_WIN_J25</t>
  </si>
  <si>
    <t>VOC_NG_J25</t>
  </si>
  <si>
    <t>VOC_OIL_J25</t>
  </si>
  <si>
    <t>STARTUP_FUEL_J25</t>
  </si>
  <si>
    <t>NOX_NG_SUM_J25</t>
  </si>
  <si>
    <t>SO2_NG_SUM_J25</t>
  </si>
  <si>
    <t>CO2_NG_SUM_J25</t>
  </si>
  <si>
    <t>NOX_NG_WIN_J25</t>
  </si>
  <si>
    <t>SO2_NG_WIN_J25</t>
  </si>
  <si>
    <t>CO2_NG_WIN_J25</t>
  </si>
  <si>
    <t>NOX_OIL_SUM_J25</t>
  </si>
  <si>
    <t>SO2_OIL_SUM_J25</t>
  </si>
  <si>
    <t>CO2_OIL_SUM_J25</t>
  </si>
  <si>
    <t>NOX_OIL_WIN_J25</t>
  </si>
  <si>
    <t>SO2_OIL_WIN_J25</t>
  </si>
  <si>
    <t>CO2_OIL_WIN_J25</t>
  </si>
  <si>
    <t>EFORd_J25</t>
  </si>
  <si>
    <t>Raw_J-Class15ppm</t>
  </si>
  <si>
    <t>rt_limit_j25_scr</t>
  </si>
  <si>
    <t>ns10min_j25</t>
  </si>
  <si>
    <t>ns10min_j15</t>
  </si>
  <si>
    <t>rt_limit_j15_scr</t>
  </si>
  <si>
    <t>Mar 2020 - DRAFT REV 2</t>
  </si>
  <si>
    <t>AFUDC, 2020 MM$</t>
  </si>
  <si>
    <t>FIXED O&amp;M COSTS - NATURAL GAS ONLY</t>
  </si>
  <si>
    <t>FIXED O&amp;M COSTS - DUAL FUEL</t>
  </si>
  <si>
    <t>MANUAL UPDATE --&gt;</t>
  </si>
  <si>
    <t>DLN (Gas), Water Injection (Fuel Oil), SCR</t>
  </si>
  <si>
    <t>Simple Cycle Frame F-Class: GE 1x 7F.05</t>
  </si>
  <si>
    <t>Simple Cycle Aeroderivative Siemens 3x SGT-A65 (No SCR)</t>
  </si>
  <si>
    <t>Simple Cycle Frame F-Class: GE 1x 7F.05 (No SCR)</t>
  </si>
  <si>
    <t>Simple Cycle Frame J-Class GE 1x HA.02 (25ppm) (No SCR)</t>
  </si>
  <si>
    <t>DLN (Gas), Water Injection (Fuel Oil)</t>
  </si>
  <si>
    <t>Simple Cycle Frame J-Class GE 1x HA.02 (15 ppm) (No SCR)</t>
  </si>
  <si>
    <t>Simple Cycle Frame J-Class GE 1x HA.02 (15 ppm)</t>
  </si>
  <si>
    <t>Simple Cycle Frame J-Class GE 1x HA.02 (25 ppm)</t>
  </si>
  <si>
    <t>EPC Cost Per UNFIRED kW, 2020 $/kW (Based on ICAP kW)</t>
  </si>
  <si>
    <t>Total Cost Per UNFIRED kW, 2020 $/kW (Based on ICAP kW)</t>
  </si>
  <si>
    <t>EPC Cost Per FIRED kW, 2020 $/kW  (Based on ICAP kW)</t>
  </si>
  <si>
    <t>Total Cost Per FIRED kW, 2020 $/kW  (Based on ICAP kW)</t>
  </si>
  <si>
    <t>Major Maintenance Cost, 2020 $/GT-hr</t>
  </si>
  <si>
    <t>Major Maintenance Cost, 2020 $/MWh</t>
  </si>
  <si>
    <t>Total Variable O&amp;M Cost, 2020 $/MWh</t>
  </si>
  <si>
    <t>Incremental Duct Fired Variable O&amp;M, 2020 $/MWh (excl. GT major maint.)</t>
  </si>
  <si>
    <t>Combined Cycle J-Class Frame 1x1 GE HA.02</t>
  </si>
  <si>
    <t>Greenfield Site Control Requirements in New York ISO</t>
  </si>
  <si>
    <t>Technology</t>
  </si>
  <si>
    <t>Load Zone</t>
  </si>
  <si>
    <t>G</t>
  </si>
  <si>
    <t>Severe</t>
  </si>
  <si>
    <t>Moderate</t>
  </si>
  <si>
    <t>SCR Needed?</t>
  </si>
  <si>
    <t>Oxidation Catalyst Needed?</t>
  </si>
  <si>
    <t>Siemens SGT-A65 (Trent)</t>
  </si>
  <si>
    <t>No</t>
  </si>
  <si>
    <t>GE 7HA.02 15 ppm NOx</t>
  </si>
  <si>
    <t>GE 7HA.02 25 ppm NOx</t>
  </si>
  <si>
    <t>1x1 7HA.02</t>
  </si>
  <si>
    <t>Values shown are for maximum annual hours of operation (3,066 hours for SCGT technologies and 8,760 for CCGT technology).  
For dual fuel SCGT, the evaluation considers 720 hours operating on ultra-low sulfur fuel oil and the remaining 2,346 hours on gas.  
For dual fuel CCGT, evaluation considers 720 hours operating on ultra-low sulfur fuel oil and the remaining 8,040 hours on gas.</t>
  </si>
  <si>
    <t>For gas only operation, the SCR and oxidation catalyst results above do not change.</t>
  </si>
  <si>
    <t>**Ox Cat based on BACT for CO</t>
  </si>
  <si>
    <t>Existing Major Source Site Control Requirements in New York ISO</t>
  </si>
  <si>
    <t>Values listed here are for maximum annual hours of operation on natural gas (2,346 hours/year for SCGT technologies, 8,040 hours/year for CCGT techology) and ultra low sulfur diesel (720 hrs/year for all technologies )</t>
  </si>
  <si>
    <t>SCR and CO requirements are not expected to change if there are zero fuel oil hours.</t>
  </si>
  <si>
    <t>Operating Limits Needed to Not Require SCR Using Natural Gas Only at Greenfield Site</t>
  </si>
  <si>
    <t>Hours Limit to not need SCR</t>
  </si>
  <si>
    <r>
      <t>N/A</t>
    </r>
    <r>
      <rPr>
        <vertAlign val="superscript"/>
        <sz val="10"/>
        <rFont val="Arial"/>
        <family val="2"/>
      </rPr>
      <t>2</t>
    </r>
  </si>
  <si>
    <t>(1) These values are for the analyzed project (i.e., the SGT-A65 limit is for all three engines combined, each year)</t>
  </si>
  <si>
    <t>(2) SCR is required for these units per the NSPS KKKK rule</t>
  </si>
  <si>
    <t>Operating Limits Needed to Not Require SCR Using ULSD Only at Greenfield Site</t>
  </si>
  <si>
    <t>Simple Cycle Aeroderivative Siemens 3x SGT-A65 (with SCR)</t>
  </si>
  <si>
    <t>rt_limit_ccj_scr</t>
  </si>
  <si>
    <t>Updated 4/2/2020</t>
  </si>
  <si>
    <t>Area</t>
  </si>
  <si>
    <t>NOx.Limit</t>
  </si>
  <si>
    <t>HR_SUM_J15</t>
  </si>
  <si>
    <t>HR_WIN_J15</t>
  </si>
  <si>
    <t>VOC_NG_J15</t>
  </si>
  <si>
    <t>VOC_OIL_J15</t>
  </si>
  <si>
    <t>STARTUP_FUEL_J15</t>
  </si>
  <si>
    <t>NOX_NG_SUM_J15</t>
  </si>
  <si>
    <t>SO2_NG_SUM_J15</t>
  </si>
  <si>
    <t>CO2_NG_SUM_J15</t>
  </si>
  <si>
    <t>NOX_NG_WIN_J15</t>
  </si>
  <si>
    <t>SO2_NG_WIN_J15</t>
  </si>
  <si>
    <t>CO2_NG_WIN_J15</t>
  </si>
  <si>
    <t>NOX_OIL_SUM_J15</t>
  </si>
  <si>
    <t>SO2_OIL_SUM_J15</t>
  </si>
  <si>
    <t>CO2_OIL_SUM_J15</t>
  </si>
  <si>
    <t>NOX_OIL_WIN_J15</t>
  </si>
  <si>
    <t>SO2_OIL_WIN_J15</t>
  </si>
  <si>
    <t>CO2_OIL_WIN_J15</t>
  </si>
  <si>
    <t>EFORd_J15</t>
  </si>
  <si>
    <t>CAP_SUM_AERO</t>
  </si>
  <si>
    <t>CAP_WIN_AERO</t>
  </si>
  <si>
    <t>CAP_SUM_F</t>
  </si>
  <si>
    <t>CAP_WIN_F</t>
  </si>
  <si>
    <t>CAP_SUM_J25</t>
  </si>
  <si>
    <t>CAP_WIN_J25</t>
  </si>
  <si>
    <t>CAP_SUM_J15</t>
  </si>
  <si>
    <t>CAP_WIN_J15</t>
  </si>
  <si>
    <t>CAP_SUM_CCJ</t>
  </si>
  <si>
    <t>CAP_WIN_CCJ</t>
  </si>
  <si>
    <t>CAP_SUM_MIN_CCJ</t>
  </si>
  <si>
    <t>CAP_WIN_MIN_CCJ</t>
  </si>
  <si>
    <t>STARTUP_MM_AERO</t>
  </si>
  <si>
    <t>STARTUP_MM_F</t>
  </si>
  <si>
    <t>STARTUP_MM_J25</t>
  </si>
  <si>
    <t>STARTUP_MM_J15</t>
  </si>
  <si>
    <t>STARTUP_MM_CCJ</t>
  </si>
  <si>
    <t>Variable O&amp;M &amp; Maj. Maintenance Costs (per unit)</t>
  </si>
  <si>
    <t>Maj. Maintenace per Hour</t>
  </si>
  <si>
    <t>$/hr</t>
  </si>
  <si>
    <t>Maj. Maintenance per Start</t>
  </si>
  <si>
    <t>Updated 5/8/2020</t>
  </si>
  <si>
    <t>Maj. Maintennace per Hour</t>
  </si>
  <si>
    <t>MM_COST_AERO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</si>
</sst>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7" formatCode="&quot;$&quot;#,##0.00_);\(&quot;$&quot;#,##0.00\)"/>
    <numFmt numFmtId="43" formatCode="_(* #,##0.00_);_(* \(#,##0.00\);_(* &quot;-&quot;??_);_(@_)"/>
    <numFmt numFmtId="164" formatCode="0.0%"/>
    <numFmt numFmtId="165" formatCode="0.0"/>
    <numFmt numFmtId="166" formatCode="&quot;$&quot;#,##0.00"/>
    <numFmt numFmtId="167" formatCode="&quot;$&quot;#,##0.0"/>
    <numFmt numFmtId="168" formatCode="&quot;$&quot;#,##0"/>
    <numFmt numFmtId="169" formatCode="0.0000"/>
    <numFmt numFmtId="170" formatCode="#,##0.0"/>
    <numFmt numFmtId="171" formatCode="#,##0.0000"/>
    <numFmt numFmtId="172" formatCode="&quot;$&quot;#,##0.0_);\(&quot;$&quot;#,##0.0\)"/>
    <numFmt numFmtId="173" formatCode="0.000"/>
    <numFmt numFmtId="174" formatCode="&quot;$&quot;#,##0.000"/>
    <numFmt numFmtId="175" formatCode="#,##0.000"/>
  </numFmts>
  <fonts count="30" x14ac:knownFonts="1">
    <font>
      <sz val="10"/>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Times New Roman"/>
      <family val="1"/>
    </font>
    <font>
      <sz val="12"/>
      <name val="Times New Roman"/>
      <family val="1"/>
    </font>
    <font>
      <sz val="10"/>
      <name val="Arial"/>
      <family val="2"/>
    </font>
    <font>
      <vertAlign val="subscript"/>
      <sz val="10"/>
      <color theme="1"/>
      <name val="Times New Roman"/>
      <family val="1"/>
    </font>
    <font>
      <u/>
      <sz val="10"/>
      <color theme="1"/>
      <name val="Times New Roman"/>
      <family val="1"/>
    </font>
    <font>
      <sz val="10"/>
      <color theme="1"/>
      <name val="Times New Roman"/>
      <family val="1"/>
    </font>
    <font>
      <b/>
      <sz val="10"/>
      <name val="Times New Roman"/>
      <family val="1"/>
    </font>
    <font>
      <sz val="10"/>
      <name val="Times New Roman"/>
      <family val="1"/>
    </font>
    <font>
      <b/>
      <sz val="11"/>
      <color theme="1"/>
      <name val="Times New Roman"/>
      <family val="1"/>
    </font>
    <font>
      <b/>
      <sz val="10"/>
      <color rgb="FFFF0000"/>
      <name val="Arial"/>
      <family val="2"/>
    </font>
    <font>
      <sz val="10"/>
      <color rgb="FFFF0000"/>
      <name val="Times New Roman"/>
      <family val="2"/>
    </font>
    <font>
      <b/>
      <sz val="10"/>
      <color rgb="FFFF0000"/>
      <name val="Times New Roman"/>
      <family val="1"/>
    </font>
    <font>
      <sz val="10"/>
      <color theme="1"/>
      <name val="Times New Roman"/>
      <family val="2"/>
    </font>
    <font>
      <i/>
      <sz val="10"/>
      <color theme="1"/>
      <name val="Times New Roman"/>
      <family val="1"/>
    </font>
    <font>
      <sz val="12"/>
      <name val="Arial"/>
      <family val="2"/>
    </font>
    <font>
      <b/>
      <sz val="12"/>
      <name val="Arial"/>
      <family val="2"/>
    </font>
    <font>
      <b/>
      <sz val="12"/>
      <color rgb="FFFF0000"/>
      <name val="Arial"/>
      <family val="2"/>
    </font>
    <font>
      <sz val="12"/>
      <color indexed="10"/>
      <name val="Arial"/>
      <family val="2"/>
    </font>
    <font>
      <sz val="12"/>
      <color rgb="FFFF0000"/>
      <name val="Arial"/>
      <family val="2"/>
    </font>
    <font>
      <vertAlign val="subscript"/>
      <sz val="10"/>
      <name val="Arial"/>
      <family val="2"/>
    </font>
    <font>
      <b/>
      <u/>
      <sz val="12"/>
      <name val="Arial"/>
      <family val="2"/>
    </font>
    <font>
      <vertAlign val="subscript"/>
      <sz val="12"/>
      <name val="Arial"/>
      <family val="2"/>
    </font>
    <font>
      <i/>
      <sz val="10"/>
      <color rgb="FFFF0000"/>
      <name val="Times New Roman"/>
      <family val="1"/>
    </font>
    <font>
      <b/>
      <sz val="10"/>
      <name val="Arial"/>
      <family val="2"/>
    </font>
    <font>
      <vertAlign val="superscript"/>
      <sz val="10"/>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medium">
        <color auto="1"/>
      </left>
      <right/>
      <top style="medium">
        <color auto="1"/>
      </top>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right/>
      <top style="medium">
        <color auto="1"/>
      </top>
      <bottom/>
      <diagonal/>
    </border>
    <border>
      <left/>
      <right/>
      <top/>
      <bottom style="medium">
        <color auto="1"/>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thin">
        <color auto="1"/>
      </left>
      <right/>
      <top/>
      <bottom/>
      <diagonal/>
    </border>
    <border>
      <left style="thin">
        <color auto="1"/>
      </left>
      <right/>
      <top/>
      <bottom style="medium">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double">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2">
    <xf numFmtId="0" fontId="0" fillId="0" borderId="0"/>
    <xf numFmtId="0" fontId="6" fillId="0" borderId="0"/>
    <xf numFmtId="43" fontId="6" fillId="0" borderId="0" applyFont="0" applyFill="0" applyBorder="0" applyAlignment="0" applyProtection="0"/>
    <xf numFmtId="0" fontId="4" fillId="0" borderId="0"/>
    <xf numFmtId="0" fontId="7" fillId="0" borderId="0"/>
    <xf numFmtId="0" fontId="7" fillId="0" borderId="0" applyNumberFormat="0" applyFill="0" applyBorder="0" applyAlignment="0" applyProtection="0"/>
    <xf numFmtId="0" fontId="3" fillId="0" borderId="0"/>
    <xf numFmtId="0" fontId="2" fillId="0" borderId="0"/>
    <xf numFmtId="0" fontId="1" fillId="0" borderId="0"/>
    <xf numFmtId="43" fontId="17" fillId="0" borderId="0" applyFont="0" applyFill="0" applyBorder="0" applyAlignment="0" applyProtection="0"/>
    <xf numFmtId="0" fontId="7" fillId="0" borderId="0"/>
    <xf numFmtId="9" fontId="7" fillId="0" borderId="0" applyFont="0" applyFill="0" applyBorder="0" applyAlignment="0" applyProtection="0"/>
  </cellStyleXfs>
  <cellXfs count="343">
    <xf numFmtId="0" fontId="0" fillId="0" borderId="0" xfId="0"/>
    <xf numFmtId="0" fontId="5" fillId="0" borderId="0" xfId="0" applyFont="1" applyBorder="1" applyAlignment="1">
      <alignment horizontal="center"/>
    </xf>
    <xf numFmtId="0" fontId="5" fillId="0" borderId="10" xfId="0" applyFont="1" applyBorder="1" applyAlignment="1">
      <alignment horizontal="center"/>
    </xf>
    <xf numFmtId="0" fontId="5" fillId="0" borderId="6" xfId="0" applyFont="1" applyBorder="1" applyAlignment="1">
      <alignment horizontal="center"/>
    </xf>
    <xf numFmtId="0" fontId="5" fillId="0" borderId="11" xfId="0" applyFont="1" applyBorder="1" applyAlignment="1">
      <alignment horizontal="left"/>
    </xf>
    <xf numFmtId="0" fontId="9" fillId="0" borderId="11" xfId="0" applyFont="1" applyBorder="1" applyAlignment="1">
      <alignment horizontal="left"/>
    </xf>
    <xf numFmtId="0" fontId="5" fillId="0" borderId="11" xfId="0" applyFont="1" applyBorder="1"/>
    <xf numFmtId="0" fontId="10" fillId="0" borderId="14" xfId="0" applyFont="1" applyBorder="1" applyAlignment="1">
      <alignment horizontal="center"/>
    </xf>
    <xf numFmtId="0" fontId="10" fillId="0" borderId="0" xfId="0" applyFont="1" applyBorder="1" applyAlignment="1">
      <alignment horizontal="center"/>
    </xf>
    <xf numFmtId="0" fontId="10" fillId="0" borderId="12" xfId="0" applyFont="1" applyBorder="1" applyAlignment="1">
      <alignment horizontal="center"/>
    </xf>
    <xf numFmtId="0" fontId="10" fillId="0" borderId="0" xfId="0" applyFont="1"/>
    <xf numFmtId="0" fontId="10" fillId="0" borderId="2" xfId="0" applyFont="1" applyBorder="1"/>
    <xf numFmtId="0" fontId="10" fillId="0" borderId="9" xfId="0" applyFont="1" applyBorder="1"/>
    <xf numFmtId="0" fontId="11" fillId="0" borderId="7" xfId="4" applyFont="1" applyBorder="1" applyAlignment="1">
      <alignment horizontal="center" vertical="center" wrapText="1"/>
    </xf>
    <xf numFmtId="0" fontId="11" fillId="0" borderId="7" xfId="4" applyFont="1" applyFill="1" applyBorder="1" applyAlignment="1">
      <alignment horizontal="center" vertical="center" wrapText="1"/>
    </xf>
    <xf numFmtId="0" fontId="11" fillId="0" borderId="8" xfId="4" applyFont="1" applyBorder="1" applyAlignment="1">
      <alignment horizontal="center" vertical="center" wrapText="1"/>
    </xf>
    <xf numFmtId="0" fontId="11" fillId="0" borderId="14" xfId="4" applyFont="1" applyBorder="1" applyAlignment="1">
      <alignment horizontal="center" vertical="center" wrapText="1"/>
    </xf>
    <xf numFmtId="0" fontId="11" fillId="0" borderId="0" xfId="4" applyFont="1" applyBorder="1" applyAlignment="1">
      <alignment horizontal="center" vertical="center" wrapText="1"/>
    </xf>
    <xf numFmtId="0" fontId="11" fillId="0" borderId="0" xfId="4" applyFont="1" applyFill="1" applyBorder="1" applyAlignment="1">
      <alignment horizontal="center" vertical="center" wrapText="1"/>
    </xf>
    <xf numFmtId="0" fontId="11" fillId="0" borderId="12" xfId="4" applyFont="1" applyBorder="1" applyAlignment="1">
      <alignment horizontal="center" vertical="center" wrapText="1"/>
    </xf>
    <xf numFmtId="0" fontId="10" fillId="0" borderId="11" xfId="0" applyFont="1" applyBorder="1" applyAlignment="1">
      <alignment horizontal="left" vertical="center" indent="2"/>
    </xf>
    <xf numFmtId="3" fontId="10" fillId="0" borderId="14" xfId="0" applyNumberFormat="1" applyFont="1" applyBorder="1" applyAlignment="1">
      <alignment horizontal="center"/>
    </xf>
    <xf numFmtId="3" fontId="10" fillId="0" borderId="0" xfId="0" applyNumberFormat="1" applyFont="1" applyBorder="1" applyAlignment="1">
      <alignment horizontal="center"/>
    </xf>
    <xf numFmtId="3" fontId="10" fillId="0" borderId="12" xfId="0" applyNumberFormat="1" applyFont="1" applyBorder="1" applyAlignment="1">
      <alignment horizontal="center"/>
    </xf>
    <xf numFmtId="0" fontId="10" fillId="0" borderId="0" xfId="0" applyFont="1" applyBorder="1"/>
    <xf numFmtId="0" fontId="10" fillId="0" borderId="0" xfId="0" applyFont="1" applyBorder="1" applyAlignment="1">
      <alignment horizontal="center" wrapText="1"/>
    </xf>
    <xf numFmtId="165" fontId="10" fillId="0" borderId="14" xfId="0" applyNumberFormat="1" applyFont="1" applyBorder="1" applyAlignment="1">
      <alignment horizontal="center"/>
    </xf>
    <xf numFmtId="165" fontId="10" fillId="0" borderId="0" xfId="0" applyNumberFormat="1" applyFont="1" applyBorder="1" applyAlignment="1">
      <alignment horizontal="center"/>
    </xf>
    <xf numFmtId="165" fontId="10" fillId="0" borderId="12" xfId="0" applyNumberFormat="1" applyFont="1" applyBorder="1" applyAlignment="1">
      <alignment horizontal="center"/>
    </xf>
    <xf numFmtId="0" fontId="10" fillId="0" borderId="14" xfId="0" applyFont="1" applyBorder="1"/>
    <xf numFmtId="0" fontId="10" fillId="0" borderId="12" xfId="0" applyFont="1" applyBorder="1"/>
    <xf numFmtId="0" fontId="10" fillId="0" borderId="11" xfId="0" applyFont="1" applyBorder="1" applyAlignment="1">
      <alignment horizontal="left" vertical="center" wrapText="1" indent="2"/>
    </xf>
    <xf numFmtId="0" fontId="10" fillId="0" borderId="6" xfId="0" applyFont="1" applyBorder="1" applyAlignment="1">
      <alignment horizontal="left" vertical="center" indent="2"/>
    </xf>
    <xf numFmtId="0" fontId="10" fillId="0" borderId="10" xfId="0" applyFont="1" applyBorder="1" applyAlignment="1">
      <alignment horizontal="center"/>
    </xf>
    <xf numFmtId="0" fontId="10" fillId="0" borderId="14" xfId="0" applyFont="1" applyFill="1" applyBorder="1"/>
    <xf numFmtId="0" fontId="10" fillId="0" borderId="0" xfId="0" applyFont="1" applyFill="1" applyBorder="1"/>
    <xf numFmtId="0" fontId="10" fillId="0" borderId="12" xfId="0" applyFont="1" applyFill="1" applyBorder="1"/>
    <xf numFmtId="1" fontId="12" fillId="0" borderId="14" xfId="4" applyNumberFormat="1" applyFont="1" applyBorder="1" applyAlignment="1">
      <alignment horizontal="center" vertical="center" wrapText="1"/>
    </xf>
    <xf numFmtId="1" fontId="12" fillId="0" borderId="0" xfId="4" applyNumberFormat="1" applyFont="1" applyBorder="1" applyAlignment="1">
      <alignment horizontal="center" vertical="center" wrapText="1"/>
    </xf>
    <xf numFmtId="1" fontId="12" fillId="0" borderId="12" xfId="4" applyNumberFormat="1" applyFont="1" applyBorder="1" applyAlignment="1">
      <alignment horizontal="center" vertical="center" wrapText="1"/>
    </xf>
    <xf numFmtId="166" fontId="10" fillId="0" borderId="14" xfId="0" applyNumberFormat="1" applyFont="1" applyFill="1" applyBorder="1" applyAlignment="1">
      <alignment horizontal="center"/>
    </xf>
    <xf numFmtId="166" fontId="10" fillId="0" borderId="0" xfId="0" applyNumberFormat="1" applyFont="1" applyFill="1" applyBorder="1" applyAlignment="1">
      <alignment horizontal="center"/>
    </xf>
    <xf numFmtId="166" fontId="10" fillId="0" borderId="12" xfId="0" applyNumberFormat="1" applyFont="1" applyFill="1" applyBorder="1" applyAlignment="1">
      <alignment horizontal="center"/>
    </xf>
    <xf numFmtId="168" fontId="10" fillId="0" borderId="15" xfId="0" applyNumberFormat="1" applyFont="1" applyFill="1" applyBorder="1" applyAlignment="1">
      <alignment horizontal="center"/>
    </xf>
    <xf numFmtId="168" fontId="10" fillId="0" borderId="10" xfId="0" applyNumberFormat="1" applyFont="1" applyFill="1" applyBorder="1" applyAlignment="1">
      <alignment horizontal="center"/>
    </xf>
    <xf numFmtId="168" fontId="10" fillId="0" borderId="13" xfId="0" applyNumberFormat="1" applyFont="1" applyFill="1" applyBorder="1" applyAlignment="1">
      <alignment horizontal="center"/>
    </xf>
    <xf numFmtId="0" fontId="12" fillId="0" borderId="0" xfId="4" applyFont="1" applyBorder="1" applyAlignment="1">
      <alignment horizontal="center" vertical="center" wrapText="1"/>
    </xf>
    <xf numFmtId="0" fontId="12" fillId="0" borderId="1" xfId="4" applyFont="1" applyBorder="1" applyAlignment="1">
      <alignment horizontal="center" vertical="center" wrapText="1"/>
    </xf>
    <xf numFmtId="0" fontId="10" fillId="0" borderId="1" xfId="0" applyFont="1" applyBorder="1" applyAlignment="1">
      <alignment horizontal="center"/>
    </xf>
    <xf numFmtId="0" fontId="10" fillId="0" borderId="1" xfId="0" applyFont="1" applyBorder="1"/>
    <xf numFmtId="1" fontId="10" fillId="0" borderId="0" xfId="0" applyNumberFormat="1" applyFont="1"/>
    <xf numFmtId="3" fontId="10" fillId="0" borderId="0" xfId="0" applyNumberFormat="1" applyFont="1"/>
    <xf numFmtId="0" fontId="10" fillId="0" borderId="10" xfId="0" applyFont="1" applyBorder="1" applyAlignment="1">
      <alignment horizontal="center" wrapText="1"/>
    </xf>
    <xf numFmtId="0" fontId="12" fillId="0" borderId="14" xfId="0" applyFont="1" applyFill="1" applyBorder="1" applyAlignment="1">
      <alignment horizontal="center"/>
    </xf>
    <xf numFmtId="0" fontId="12" fillId="0" borderId="0" xfId="0" applyFont="1" applyFill="1" applyBorder="1" applyAlignment="1">
      <alignment horizontal="center"/>
    </xf>
    <xf numFmtId="0" fontId="12" fillId="0" borderId="12" xfId="0" applyFont="1" applyFill="1" applyBorder="1" applyAlignment="1">
      <alignment horizontal="center"/>
    </xf>
    <xf numFmtId="164" fontId="12" fillId="0" borderId="15" xfId="0" applyNumberFormat="1" applyFont="1" applyFill="1" applyBorder="1" applyAlignment="1">
      <alignment horizontal="center"/>
    </xf>
    <xf numFmtId="164" fontId="12" fillId="0" borderId="10" xfId="0" applyNumberFormat="1" applyFont="1" applyFill="1" applyBorder="1" applyAlignment="1">
      <alignment horizontal="center"/>
    </xf>
    <xf numFmtId="164" fontId="12" fillId="0" borderId="13" xfId="0" applyNumberFormat="1" applyFont="1" applyFill="1" applyBorder="1" applyAlignment="1">
      <alignment horizontal="center"/>
    </xf>
    <xf numFmtId="0" fontId="10" fillId="2" borderId="0" xfId="0" applyFont="1" applyFill="1"/>
    <xf numFmtId="0" fontId="18" fillId="2" borderId="0" xfId="0" applyFont="1" applyFill="1"/>
    <xf numFmtId="2" fontId="19" fillId="0" borderId="0" xfId="10" applyNumberFormat="1" applyFont="1" applyFill="1" applyAlignment="1" applyProtection="1">
      <alignment vertical="top"/>
      <protection locked="0"/>
    </xf>
    <xf numFmtId="2" fontId="20" fillId="0" borderId="0" xfId="10" applyNumberFormat="1" applyFont="1" applyFill="1" applyAlignment="1" applyProtection="1">
      <alignment horizontal="centerContinuous" vertical="top"/>
      <protection locked="0"/>
    </xf>
    <xf numFmtId="2" fontId="19" fillId="0" borderId="0" xfId="10" applyNumberFormat="1" applyFont="1" applyFill="1" applyAlignment="1" applyProtection="1">
      <alignment horizontal="centerContinuous" vertical="top"/>
      <protection locked="0"/>
    </xf>
    <xf numFmtId="169" fontId="19" fillId="0" borderId="0" xfId="10" applyNumberFormat="1" applyFont="1" applyFill="1" applyAlignment="1" applyProtection="1">
      <alignment horizontal="centerContinuous" vertical="top"/>
      <protection locked="0"/>
    </xf>
    <xf numFmtId="2" fontId="20" fillId="0" borderId="24" xfId="10" applyNumberFormat="1" applyFont="1" applyFill="1" applyBorder="1" applyAlignment="1" applyProtection="1">
      <alignment vertical="center"/>
      <protection locked="0"/>
    </xf>
    <xf numFmtId="2" fontId="20" fillId="0" borderId="25" xfId="10" quotePrefix="1" applyNumberFormat="1" applyFont="1" applyFill="1" applyBorder="1" applyAlignment="1" applyProtection="1">
      <alignment horizontal="center" vertical="center" wrapText="1"/>
      <protection locked="0"/>
    </xf>
    <xf numFmtId="2" fontId="20" fillId="0" borderId="26" xfId="10" quotePrefix="1" applyNumberFormat="1" applyFont="1" applyFill="1" applyBorder="1" applyAlignment="1" applyProtection="1">
      <alignment horizontal="center" vertical="center" wrapText="1"/>
      <protection locked="0"/>
    </xf>
    <xf numFmtId="2" fontId="20" fillId="0" borderId="24" xfId="10" applyNumberFormat="1" applyFont="1" applyFill="1" applyBorder="1" applyAlignment="1" applyProtection="1">
      <alignment horizontal="left" vertical="top"/>
      <protection locked="0"/>
    </xf>
    <xf numFmtId="2" fontId="19" fillId="0" borderId="27" xfId="10" applyNumberFormat="1" applyFont="1" applyFill="1" applyBorder="1" applyAlignment="1" applyProtection="1">
      <alignment horizontal="center" vertical="center" wrapText="1"/>
      <protection locked="0"/>
    </xf>
    <xf numFmtId="2" fontId="19" fillId="0" borderId="28" xfId="10" applyNumberFormat="1" applyFont="1" applyFill="1" applyBorder="1" applyAlignment="1" applyProtection="1">
      <alignment horizontal="center" vertical="center" wrapText="1"/>
      <protection locked="0"/>
    </xf>
    <xf numFmtId="2" fontId="19" fillId="0" borderId="29" xfId="10" applyNumberFormat="1" applyFont="1" applyFill="1" applyBorder="1" applyAlignment="1" applyProtection="1">
      <alignment horizontal="center" vertical="center" wrapText="1"/>
      <protection locked="0"/>
    </xf>
    <xf numFmtId="2" fontId="19" fillId="0" borderId="16" xfId="0" applyNumberFormat="1" applyFont="1" applyFill="1" applyBorder="1" applyAlignment="1" applyProtection="1">
      <alignment vertical="center"/>
      <protection locked="0"/>
    </xf>
    <xf numFmtId="1" fontId="19" fillId="0" borderId="30" xfId="10" applyNumberFormat="1" applyFont="1" applyFill="1" applyBorder="1" applyAlignment="1" applyProtection="1">
      <alignment horizontal="center" vertical="center"/>
      <protection locked="0"/>
    </xf>
    <xf numFmtId="1" fontId="19" fillId="0" borderId="31"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vertical="center"/>
      <protection locked="0"/>
    </xf>
    <xf numFmtId="1" fontId="19" fillId="0" borderId="32" xfId="10" applyNumberFormat="1" applyFont="1" applyFill="1" applyBorder="1" applyAlignment="1" applyProtection="1">
      <alignment horizontal="center" vertical="center"/>
      <protection locked="0"/>
    </xf>
    <xf numFmtId="1" fontId="19"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protection locked="0"/>
    </xf>
    <xf numFmtId="1" fontId="19" fillId="0" borderId="32" xfId="10" applyNumberFormat="1" applyFont="1" applyFill="1" applyBorder="1" applyAlignment="1" applyProtection="1">
      <alignment horizontal="center" vertical="center" wrapText="1"/>
      <protection locked="0"/>
    </xf>
    <xf numFmtId="1" fontId="19" fillId="0" borderId="33" xfId="10" applyNumberFormat="1" applyFont="1" applyFill="1" applyBorder="1" applyAlignment="1" applyProtection="1">
      <alignment horizontal="center" vertical="center" wrapText="1"/>
      <protection locked="0"/>
    </xf>
    <xf numFmtId="3" fontId="19" fillId="0" borderId="32" xfId="10" applyNumberFormat="1" applyFont="1" applyFill="1" applyBorder="1" applyAlignment="1" applyProtection="1">
      <alignment horizontal="center" vertical="center" wrapText="1"/>
      <protection locked="0"/>
    </xf>
    <xf numFmtId="3" fontId="19" fillId="0" borderId="33" xfId="10" applyNumberFormat="1" applyFont="1" applyFill="1" applyBorder="1" applyAlignment="1" applyProtection="1">
      <alignment horizontal="center" vertical="center" wrapText="1"/>
      <protection locked="0"/>
    </xf>
    <xf numFmtId="164" fontId="19" fillId="0" borderId="32" xfId="10" applyNumberFormat="1" applyFont="1" applyFill="1" applyBorder="1" applyAlignment="1" applyProtection="1">
      <alignment horizontal="center" vertical="center"/>
      <protection locked="0"/>
    </xf>
    <xf numFmtId="164" fontId="19" fillId="0" borderId="33"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center"/>
      <protection locked="0"/>
    </xf>
    <xf numFmtId="0" fontId="19" fillId="0" borderId="32" xfId="10" applyFont="1" applyFill="1" applyBorder="1" applyAlignment="1" applyProtection="1">
      <alignment horizontal="center" vertical="center"/>
      <protection locked="0"/>
    </xf>
    <xf numFmtId="0" fontId="19" fillId="0" borderId="33" xfId="10" applyFont="1" applyFill="1" applyBorder="1" applyAlignment="1" applyProtection="1">
      <alignment horizontal="center" vertical="center"/>
      <protection locked="0"/>
    </xf>
    <xf numFmtId="2" fontId="19" fillId="0" borderId="32" xfId="10" quotePrefix="1" applyNumberFormat="1" applyFont="1" applyFill="1" applyBorder="1" applyAlignment="1" applyProtection="1">
      <alignment horizontal="center" vertical="center" wrapText="1"/>
      <protection locked="0"/>
    </xf>
    <xf numFmtId="2" fontId="19" fillId="0" borderId="33" xfId="10" quotePrefix="1" applyNumberFormat="1" applyFont="1" applyFill="1" applyBorder="1" applyAlignment="1" applyProtection="1">
      <alignment horizontal="center" vertical="center" wrapText="1"/>
      <protection locked="0"/>
    </xf>
    <xf numFmtId="2" fontId="19" fillId="0" borderId="32" xfId="10" applyNumberFormat="1" applyFont="1" applyFill="1" applyBorder="1" applyAlignment="1" applyProtection="1">
      <alignment horizontal="center" vertical="center" wrapText="1"/>
      <protection locked="0"/>
    </xf>
    <xf numFmtId="2" fontId="19" fillId="0" borderId="33" xfId="10" applyNumberFormat="1" applyFont="1" applyFill="1" applyBorder="1" applyAlignment="1" applyProtection="1">
      <alignment horizontal="center" vertical="center" wrapText="1"/>
      <protection locked="0"/>
    </xf>
    <xf numFmtId="0" fontId="19" fillId="0" borderId="32" xfId="10" applyNumberFormat="1" applyFont="1" applyFill="1" applyBorder="1" applyAlignment="1" applyProtection="1">
      <alignment horizontal="center" vertical="center" wrapText="1"/>
      <protection locked="0"/>
    </xf>
    <xf numFmtId="0" fontId="19" fillId="0" borderId="33" xfId="10" applyNumberFormat="1" applyFont="1" applyFill="1" applyBorder="1" applyAlignment="1" applyProtection="1">
      <alignment horizontal="center" vertical="center" wrapText="1"/>
      <protection locked="0"/>
    </xf>
    <xf numFmtId="2" fontId="19" fillId="0" borderId="19" xfId="10" applyNumberFormat="1" applyFont="1" applyFill="1" applyBorder="1" applyAlignment="1" applyProtection="1">
      <alignment vertical="center"/>
      <protection locked="0"/>
    </xf>
    <xf numFmtId="2" fontId="20" fillId="0" borderId="34" xfId="10" applyNumberFormat="1" applyFont="1" applyFill="1" applyBorder="1" applyAlignment="1" applyProtection="1">
      <alignment horizontal="left" vertical="center"/>
      <protection locked="0"/>
    </xf>
    <xf numFmtId="2" fontId="19" fillId="0" borderId="19" xfId="10" quotePrefix="1" applyNumberFormat="1" applyFont="1" applyFill="1" applyBorder="1" applyAlignment="1" applyProtection="1">
      <alignment horizontal="left" vertical="center"/>
      <protection locked="0"/>
    </xf>
    <xf numFmtId="3" fontId="19" fillId="0" borderId="30" xfId="10" applyNumberFormat="1" applyFont="1" applyFill="1" applyBorder="1" applyAlignment="1" applyProtection="1">
      <alignment horizontal="center" vertical="center"/>
      <protection locked="0"/>
    </xf>
    <xf numFmtId="3" fontId="19" fillId="0" borderId="31" xfId="10" applyNumberFormat="1" applyFont="1" applyFill="1" applyBorder="1" applyAlignment="1" applyProtection="1">
      <alignment horizontal="center" vertical="center"/>
      <protection locked="0"/>
    </xf>
    <xf numFmtId="3" fontId="19" fillId="0" borderId="32" xfId="10" applyNumberFormat="1" applyFont="1" applyFill="1" applyBorder="1" applyAlignment="1" applyProtection="1">
      <alignment horizontal="center" vertical="center"/>
      <protection locked="0"/>
    </xf>
    <xf numFmtId="3" fontId="19"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indent="1"/>
      <protection locked="0"/>
    </xf>
    <xf numFmtId="170" fontId="19" fillId="0" borderId="32" xfId="10" applyNumberFormat="1" applyFont="1" applyFill="1" applyBorder="1" applyAlignment="1" applyProtection="1">
      <alignment horizontal="center" vertical="center"/>
      <protection locked="0"/>
    </xf>
    <xf numFmtId="170" fontId="19" fillId="0" borderId="33" xfId="10" applyNumberFormat="1" applyFont="1" applyFill="1" applyBorder="1" applyAlignment="1" applyProtection="1">
      <alignment horizontal="center" vertical="center"/>
      <protection locked="0"/>
    </xf>
    <xf numFmtId="9" fontId="19" fillId="0" borderId="32" xfId="11" applyFont="1" applyFill="1" applyBorder="1" applyAlignment="1" applyProtection="1">
      <alignment horizontal="center" vertical="center"/>
      <protection locked="0"/>
    </xf>
    <xf numFmtId="9" fontId="19" fillId="0" borderId="33" xfId="11" applyFont="1" applyFill="1" applyBorder="1" applyAlignment="1" applyProtection="1">
      <alignment horizontal="center" vertical="center"/>
      <protection locked="0"/>
    </xf>
    <xf numFmtId="171" fontId="19" fillId="0" borderId="33" xfId="10" applyNumberFormat="1" applyFont="1" applyFill="1" applyBorder="1" applyAlignment="1" applyProtection="1">
      <alignment horizontal="center" vertical="center"/>
      <protection locked="0"/>
    </xf>
    <xf numFmtId="2" fontId="20" fillId="0" borderId="19" xfId="0" applyNumberFormat="1" applyFont="1" applyFill="1" applyBorder="1" applyAlignment="1" applyProtection="1">
      <alignment horizontal="left" vertical="center"/>
      <protection locked="0"/>
    </xf>
    <xf numFmtId="3" fontId="19" fillId="0" borderId="32" xfId="0" applyNumberFormat="1" applyFont="1" applyFill="1" applyBorder="1" applyAlignment="1" applyProtection="1">
      <alignment horizontal="center" vertical="center"/>
      <protection locked="0"/>
    </xf>
    <xf numFmtId="3" fontId="19" fillId="0" borderId="33" xfId="0" applyNumberFormat="1" applyFont="1" applyFill="1" applyBorder="1" applyAlignment="1" applyProtection="1">
      <alignment horizontal="center" vertical="center"/>
      <protection locked="0"/>
    </xf>
    <xf numFmtId="2" fontId="19" fillId="0" borderId="21" xfId="10" quotePrefix="1" applyNumberFormat="1" applyFont="1" applyFill="1" applyBorder="1" applyAlignment="1" applyProtection="1">
      <alignment horizontal="left" vertical="center"/>
      <protection locked="0"/>
    </xf>
    <xf numFmtId="3" fontId="19" fillId="0" borderId="28" xfId="10" applyNumberFormat="1" applyFont="1" applyFill="1" applyBorder="1" applyAlignment="1" applyProtection="1">
      <alignment horizontal="center" vertical="center"/>
      <protection locked="0"/>
    </xf>
    <xf numFmtId="3" fontId="19" fillId="0" borderId="29" xfId="10" applyNumberFormat="1" applyFont="1" applyFill="1" applyBorder="1" applyAlignment="1" applyProtection="1">
      <alignment horizontal="center" vertical="center"/>
      <protection locked="0"/>
    </xf>
    <xf numFmtId="2" fontId="20" fillId="0" borderId="21" xfId="10" applyNumberFormat="1" applyFont="1" applyFill="1" applyBorder="1" applyAlignment="1" applyProtection="1">
      <alignment horizontal="left" vertical="center"/>
      <protection locked="0"/>
    </xf>
    <xf numFmtId="2" fontId="22" fillId="0" borderId="28" xfId="10" applyNumberFormat="1" applyFont="1" applyFill="1" applyBorder="1" applyAlignment="1" applyProtection="1">
      <alignment horizontal="center" vertical="center"/>
      <protection locked="0"/>
    </xf>
    <xf numFmtId="2" fontId="22" fillId="0" borderId="29" xfId="10" applyNumberFormat="1" applyFont="1" applyFill="1" applyBorder="1" applyAlignment="1" applyProtection="1">
      <alignment horizontal="center" vertical="center"/>
      <protection locked="0"/>
    </xf>
    <xf numFmtId="164" fontId="23" fillId="0" borderId="30" xfId="11" applyNumberFormat="1" applyFont="1" applyFill="1" applyBorder="1" applyAlignment="1" applyProtection="1">
      <alignment horizontal="center" vertical="center"/>
      <protection locked="0"/>
    </xf>
    <xf numFmtId="164" fontId="23" fillId="0" borderId="31" xfId="11" applyNumberFormat="1" applyFont="1" applyFill="1" applyBorder="1" applyAlignment="1" applyProtection="1">
      <alignment horizontal="center" vertical="center"/>
      <protection locked="0"/>
    </xf>
    <xf numFmtId="2" fontId="20" fillId="0" borderId="0" xfId="10" applyNumberFormat="1" applyFont="1" applyFill="1" applyAlignment="1" applyProtection="1">
      <alignment vertical="top"/>
      <protection locked="0"/>
    </xf>
    <xf numFmtId="2" fontId="20" fillId="0" borderId="19" xfId="0" quotePrefix="1" applyNumberFormat="1" applyFont="1" applyFill="1" applyBorder="1" applyAlignment="1" applyProtection="1">
      <alignment horizontal="left" vertical="center"/>
      <protection locked="0"/>
    </xf>
    <xf numFmtId="168" fontId="20" fillId="0" borderId="32" xfId="10" applyNumberFormat="1" applyFont="1" applyFill="1" applyBorder="1" applyAlignment="1" applyProtection="1">
      <alignment horizontal="center" vertical="center"/>
      <protection locked="0"/>
    </xf>
    <xf numFmtId="168" fontId="20"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indent="2"/>
      <protection locked="0"/>
    </xf>
    <xf numFmtId="168" fontId="19" fillId="0" borderId="32" xfId="10" applyNumberFormat="1" applyFont="1" applyFill="1" applyBorder="1" applyAlignment="1" applyProtection="1">
      <alignment horizontal="center" vertical="center"/>
      <protection locked="0"/>
    </xf>
    <xf numFmtId="168" fontId="19" fillId="0" borderId="33"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center" indent="2"/>
      <protection locked="0"/>
    </xf>
    <xf numFmtId="167" fontId="19" fillId="0" borderId="32" xfId="10" applyNumberFormat="1" applyFont="1" applyFill="1" applyBorder="1" applyAlignment="1" applyProtection="1">
      <alignment horizontal="center" vertical="center"/>
      <protection locked="0"/>
    </xf>
    <xf numFmtId="167" fontId="19" fillId="0" borderId="33" xfId="10" applyNumberFormat="1" applyFont="1" applyFill="1" applyBorder="1" applyAlignment="1" applyProtection="1">
      <alignment horizontal="center" vertical="center"/>
      <protection locked="0"/>
    </xf>
    <xf numFmtId="167" fontId="19" fillId="0" borderId="32" xfId="10" applyNumberFormat="1" applyFont="1" applyFill="1" applyBorder="1" applyAlignment="1" applyProtection="1">
      <alignment horizontal="center" vertical="center" wrapText="1"/>
      <protection locked="0"/>
    </xf>
    <xf numFmtId="167" fontId="19" fillId="0" borderId="33" xfId="10" applyNumberFormat="1" applyFont="1" applyFill="1" applyBorder="1" applyAlignment="1" applyProtection="1">
      <alignment horizontal="center" vertical="center" wrapText="1"/>
      <protection locked="0"/>
    </xf>
    <xf numFmtId="168" fontId="20" fillId="0" borderId="0" xfId="10" applyNumberFormat="1" applyFont="1" applyFill="1" applyAlignment="1" applyProtection="1">
      <alignment vertical="top"/>
      <protection locked="0"/>
    </xf>
    <xf numFmtId="168" fontId="20" fillId="0" borderId="19" xfId="0" applyNumberFormat="1" applyFont="1" applyFill="1" applyBorder="1" applyAlignment="1" applyProtection="1">
      <alignment horizontal="left" vertical="center"/>
      <protection locked="0"/>
    </xf>
    <xf numFmtId="168" fontId="20" fillId="0" borderId="32" xfId="10" applyNumberFormat="1" applyFont="1" applyFill="1" applyBorder="1" applyAlignment="1" applyProtection="1">
      <alignment horizontal="center" vertical="center" wrapText="1"/>
      <protection locked="0"/>
    </xf>
    <xf numFmtId="168" fontId="20" fillId="0" borderId="33" xfId="10" applyNumberFormat="1" applyFont="1" applyFill="1" applyBorder="1" applyAlignment="1" applyProtection="1">
      <alignment horizontal="center" vertical="center" wrapText="1"/>
      <protection locked="0"/>
    </xf>
    <xf numFmtId="164" fontId="23" fillId="0" borderId="32" xfId="11" applyNumberFormat="1" applyFont="1" applyFill="1" applyBorder="1" applyAlignment="1" applyProtection="1">
      <alignment horizontal="center" vertical="center"/>
      <protection locked="0"/>
    </xf>
    <xf numFmtId="164" fontId="23" fillId="0" borderId="33" xfId="11" applyNumberFormat="1" applyFont="1" applyFill="1" applyBorder="1" applyAlignment="1" applyProtection="1">
      <alignment horizontal="center" vertical="center"/>
      <protection locked="0"/>
    </xf>
    <xf numFmtId="167" fontId="23" fillId="0" borderId="32" xfId="10" applyNumberFormat="1" applyFont="1" applyFill="1" applyBorder="1" applyAlignment="1" applyProtection="1">
      <alignment horizontal="center" vertical="center" wrapText="1"/>
      <protection locked="0"/>
    </xf>
    <xf numFmtId="167" fontId="23" fillId="0" borderId="33" xfId="10" applyNumberFormat="1" applyFont="1" applyFill="1" applyBorder="1" applyAlignment="1" applyProtection="1">
      <alignment horizontal="center" vertical="center" wrapText="1"/>
      <protection locked="0"/>
    </xf>
    <xf numFmtId="166" fontId="19" fillId="0" borderId="32" xfId="10" applyNumberFormat="1" applyFont="1" applyFill="1" applyBorder="1" applyAlignment="1" applyProtection="1">
      <alignment horizontal="center" vertical="center"/>
      <protection locked="0"/>
    </xf>
    <xf numFmtId="166" fontId="19" fillId="0" borderId="33" xfId="10" applyNumberFormat="1" applyFont="1" applyFill="1" applyBorder="1" applyAlignment="1" applyProtection="1">
      <alignment horizontal="center" vertical="center"/>
      <protection locked="0"/>
    </xf>
    <xf numFmtId="2" fontId="20" fillId="0" borderId="19" xfId="10" applyNumberFormat="1" applyFont="1" applyFill="1" applyBorder="1" applyAlignment="1" applyProtection="1">
      <alignment horizontal="left" vertical="center"/>
      <protection locked="0"/>
    </xf>
    <xf numFmtId="2" fontId="19" fillId="0" borderId="19" xfId="10" applyNumberFormat="1" applyFont="1" applyFill="1" applyBorder="1" applyAlignment="1" applyProtection="1">
      <alignment horizontal="left" vertical="center"/>
      <protection locked="0"/>
    </xf>
    <xf numFmtId="166" fontId="19" fillId="0" borderId="32" xfId="0" applyNumberFormat="1" applyFont="1" applyFill="1" applyBorder="1" applyAlignment="1" applyProtection="1">
      <alignment horizontal="center" vertical="center"/>
      <protection locked="0"/>
    </xf>
    <xf numFmtId="166" fontId="19" fillId="0" borderId="33" xfId="0" applyNumberFormat="1" applyFont="1" applyFill="1" applyBorder="1" applyAlignment="1" applyProtection="1">
      <alignment horizontal="center" vertical="center"/>
      <protection locked="0"/>
    </xf>
    <xf numFmtId="2" fontId="19" fillId="0" borderId="19" xfId="10" quotePrefix="1" applyNumberFormat="1" applyFont="1" applyFill="1" applyBorder="1" applyAlignment="1" applyProtection="1">
      <alignment horizontal="left" vertical="center" indent="2"/>
      <protection locked="0"/>
    </xf>
    <xf numFmtId="7" fontId="19" fillId="0" borderId="32" xfId="10" applyNumberFormat="1" applyFont="1" applyFill="1" applyBorder="1" applyAlignment="1" applyProtection="1">
      <alignment horizontal="center" vertical="center"/>
      <protection locked="0"/>
    </xf>
    <xf numFmtId="7" fontId="19" fillId="0" borderId="33" xfId="10" applyNumberFormat="1" applyFont="1" applyFill="1" applyBorder="1" applyAlignment="1" applyProtection="1">
      <alignment horizontal="center" vertical="center"/>
      <protection locked="0"/>
    </xf>
    <xf numFmtId="2" fontId="20" fillId="0" borderId="19" xfId="10" applyNumberFormat="1" applyFont="1" applyFill="1" applyBorder="1" applyAlignment="1" applyProtection="1">
      <alignment horizontal="left" vertical="top"/>
      <protection locked="0"/>
    </xf>
    <xf numFmtId="172" fontId="19" fillId="0" borderId="32" xfId="10" applyNumberFormat="1" applyFont="1" applyFill="1" applyBorder="1" applyAlignment="1" applyProtection="1">
      <alignment horizontal="center" vertical="center"/>
      <protection locked="0"/>
    </xf>
    <xf numFmtId="172" fontId="19" fillId="0" borderId="33" xfId="10" applyNumberFormat="1" applyFont="1" applyFill="1" applyBorder="1" applyAlignment="1" applyProtection="1">
      <alignment horizontal="center" vertical="center"/>
      <protection locked="0"/>
    </xf>
    <xf numFmtId="2" fontId="19" fillId="0" borderId="19" xfId="10" applyNumberFormat="1" applyFont="1" applyFill="1" applyBorder="1" applyAlignment="1" applyProtection="1">
      <alignment horizontal="left" vertical="top"/>
      <protection locked="0"/>
    </xf>
    <xf numFmtId="166" fontId="19" fillId="0" borderId="28" xfId="10" applyNumberFormat="1" applyFont="1" applyFill="1" applyBorder="1" applyAlignment="1" applyProtection="1">
      <alignment horizontal="center" vertical="center"/>
      <protection locked="0"/>
    </xf>
    <xf numFmtId="166" fontId="19" fillId="0" borderId="29" xfId="10" applyNumberFormat="1" applyFont="1" applyFill="1" applyBorder="1" applyAlignment="1" applyProtection="1">
      <alignment horizontal="center" vertical="center"/>
      <protection locked="0"/>
    </xf>
    <xf numFmtId="3" fontId="23" fillId="0" borderId="25" xfId="10" applyNumberFormat="1" applyFont="1" applyFill="1" applyBorder="1" applyAlignment="1" applyProtection="1">
      <alignment horizontal="center" vertical="center"/>
      <protection locked="0"/>
    </xf>
    <xf numFmtId="3" fontId="23" fillId="0" borderId="26" xfId="10" applyNumberFormat="1" applyFont="1" applyFill="1" applyBorder="1" applyAlignment="1" applyProtection="1">
      <alignment horizontal="center" vertical="center"/>
      <protection locked="0"/>
    </xf>
    <xf numFmtId="173" fontId="19" fillId="0" borderId="32" xfId="10" applyNumberFormat="1" applyFont="1" applyFill="1" applyBorder="1" applyAlignment="1" applyProtection="1">
      <alignment horizontal="center" vertical="top" wrapText="1"/>
      <protection locked="0"/>
    </xf>
    <xf numFmtId="173" fontId="19" fillId="0" borderId="33" xfId="10" applyNumberFormat="1" applyFont="1" applyFill="1" applyBorder="1" applyAlignment="1" applyProtection="1">
      <alignment horizontal="center" vertical="top" wrapText="1"/>
      <protection locked="0"/>
    </xf>
    <xf numFmtId="2" fontId="19" fillId="0" borderId="19" xfId="10" applyNumberFormat="1" applyFont="1" applyFill="1" applyBorder="1" applyAlignment="1" applyProtection="1">
      <alignment horizontal="left" vertical="center" indent="2"/>
      <protection locked="0"/>
    </xf>
    <xf numFmtId="3" fontId="19" fillId="0" borderId="32" xfId="10" applyNumberFormat="1" applyFont="1" applyFill="1" applyBorder="1" applyAlignment="1" applyProtection="1">
      <alignment horizontal="center" vertical="top" wrapText="1"/>
      <protection locked="0"/>
    </xf>
    <xf numFmtId="3" fontId="19" fillId="0" borderId="33" xfId="10" applyNumberFormat="1" applyFont="1" applyFill="1" applyBorder="1" applyAlignment="1" applyProtection="1">
      <alignment horizontal="center" vertical="top" wrapText="1"/>
      <protection locked="0"/>
    </xf>
    <xf numFmtId="170" fontId="19" fillId="0" borderId="32" xfId="10" applyNumberFormat="1" applyFont="1" applyFill="1" applyBorder="1" applyAlignment="1" applyProtection="1">
      <alignment horizontal="center" vertical="top" wrapText="1"/>
      <protection locked="0"/>
    </xf>
    <xf numFmtId="170" fontId="19" fillId="0" borderId="33" xfId="10" applyNumberFormat="1" applyFont="1" applyFill="1" applyBorder="1" applyAlignment="1" applyProtection="1">
      <alignment horizontal="center" vertical="top" wrapText="1"/>
      <protection locked="0"/>
    </xf>
    <xf numFmtId="0" fontId="19" fillId="0" borderId="32" xfId="10" quotePrefix="1" applyFont="1" applyFill="1" applyBorder="1" applyAlignment="1" applyProtection="1">
      <alignment horizontal="center" vertical="top"/>
      <protection locked="0"/>
    </xf>
    <xf numFmtId="0" fontId="19" fillId="0" borderId="33" xfId="10" quotePrefix="1" applyFont="1" applyFill="1" applyBorder="1" applyAlignment="1" applyProtection="1">
      <alignment horizontal="center" vertical="top"/>
      <protection locked="0"/>
    </xf>
    <xf numFmtId="173" fontId="19" fillId="0" borderId="32" xfId="10" quotePrefix="1" applyNumberFormat="1" applyFont="1" applyFill="1" applyBorder="1" applyAlignment="1" applyProtection="1">
      <alignment horizontal="center" vertical="top"/>
      <protection locked="0"/>
    </xf>
    <xf numFmtId="173" fontId="19" fillId="0" borderId="33" xfId="10" quotePrefix="1" applyNumberFormat="1" applyFont="1" applyFill="1" applyBorder="1" applyAlignment="1" applyProtection="1">
      <alignment horizontal="center" vertical="top"/>
      <protection locked="0"/>
    </xf>
    <xf numFmtId="2" fontId="22" fillId="0" borderId="25" xfId="10" applyNumberFormat="1" applyFont="1" applyFill="1" applyBorder="1" applyAlignment="1" applyProtection="1">
      <alignment horizontal="center" vertical="center"/>
      <protection locked="0"/>
    </xf>
    <xf numFmtId="2" fontId="22" fillId="0" borderId="26" xfId="10" applyNumberFormat="1" applyFont="1" applyFill="1" applyBorder="1" applyAlignment="1" applyProtection="1">
      <alignment horizontal="center" vertical="center"/>
      <protection locked="0"/>
    </xf>
    <xf numFmtId="173" fontId="19" fillId="0" borderId="30" xfId="10" applyNumberFormat="1" applyFont="1" applyFill="1" applyBorder="1" applyAlignment="1" applyProtection="1">
      <alignment horizontal="center" vertical="center" wrapText="1"/>
      <protection locked="0"/>
    </xf>
    <xf numFmtId="173" fontId="19" fillId="0" borderId="31" xfId="10" applyNumberFormat="1" applyFont="1" applyFill="1" applyBorder="1" applyAlignment="1" applyProtection="1">
      <alignment horizontal="center" vertical="center" wrapText="1"/>
      <protection locked="0"/>
    </xf>
    <xf numFmtId="173" fontId="21" fillId="0" borderId="32" xfId="10" applyNumberFormat="1" applyFont="1" applyFill="1" applyBorder="1" applyAlignment="1" applyProtection="1">
      <alignment horizontal="center" vertical="center" wrapText="1"/>
      <protection locked="0"/>
    </xf>
    <xf numFmtId="173" fontId="19" fillId="0" borderId="32" xfId="10" applyNumberFormat="1" applyFont="1" applyFill="1" applyBorder="1" applyAlignment="1" applyProtection="1">
      <alignment horizontal="center" vertical="center" wrapText="1"/>
      <protection locked="0"/>
    </xf>
    <xf numFmtId="173" fontId="19" fillId="0" borderId="33" xfId="10" applyNumberFormat="1" applyFont="1" applyFill="1" applyBorder="1" applyAlignment="1" applyProtection="1">
      <alignment horizontal="center" vertical="center" wrapText="1"/>
      <protection locked="0"/>
    </xf>
    <xf numFmtId="2" fontId="19" fillId="0" borderId="21" xfId="10" applyNumberFormat="1" applyFont="1" applyFill="1" applyBorder="1" applyAlignment="1" applyProtection="1">
      <alignment horizontal="left" vertical="center"/>
      <protection locked="0"/>
    </xf>
    <xf numFmtId="2" fontId="19" fillId="0" borderId="28" xfId="10" applyNumberFormat="1" applyFont="1" applyFill="1" applyBorder="1" applyAlignment="1" applyProtection="1">
      <alignment horizontal="center" vertical="center"/>
      <protection locked="0"/>
    </xf>
    <xf numFmtId="2" fontId="19" fillId="0" borderId="29" xfId="10" applyNumberFormat="1" applyFont="1" applyFill="1" applyBorder="1" applyAlignment="1" applyProtection="1">
      <alignment horizontal="center" vertical="center"/>
      <protection locked="0"/>
    </xf>
    <xf numFmtId="2" fontId="25" fillId="0" borderId="16" xfId="10" quotePrefix="1" applyNumberFormat="1" applyFont="1" applyFill="1" applyBorder="1" applyAlignment="1" applyProtection="1">
      <alignment horizontal="left" vertical="center"/>
      <protection locked="0"/>
    </xf>
    <xf numFmtId="2" fontId="19" fillId="0" borderId="17" xfId="10" applyNumberFormat="1" applyFont="1" applyFill="1" applyBorder="1" applyAlignment="1" applyProtection="1">
      <alignment horizontal="center" vertical="center"/>
      <protection locked="0"/>
    </xf>
    <xf numFmtId="2" fontId="19" fillId="0" borderId="18" xfId="10" applyNumberFormat="1" applyFont="1" applyFill="1" applyBorder="1" applyAlignment="1" applyProtection="1">
      <alignment horizontal="center" vertical="center"/>
      <protection locked="0"/>
    </xf>
    <xf numFmtId="2" fontId="19" fillId="0" borderId="0" xfId="0" applyNumberFormat="1" applyFont="1" applyFill="1" applyAlignment="1" applyProtection="1">
      <alignment vertical="top"/>
      <protection locked="0"/>
    </xf>
    <xf numFmtId="2" fontId="19" fillId="0" borderId="0" xfId="0" applyNumberFormat="1" applyFont="1" applyFill="1" applyBorder="1" applyAlignment="1" applyProtection="1">
      <alignment horizontal="center" vertical="center"/>
      <protection locked="0"/>
    </xf>
    <xf numFmtId="2" fontId="19" fillId="0" borderId="20" xfId="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vertical="center"/>
      <protection locked="0"/>
    </xf>
    <xf numFmtId="2" fontId="19" fillId="0" borderId="0" xfId="0" quotePrefix="1" applyNumberFormat="1" applyFont="1" applyFill="1" applyBorder="1" applyAlignment="1" applyProtection="1">
      <alignment vertical="center" wrapText="1"/>
      <protection locked="0"/>
    </xf>
    <xf numFmtId="2" fontId="19" fillId="0" borderId="20" xfId="0" quotePrefix="1" applyNumberFormat="1" applyFont="1" applyFill="1" applyBorder="1" applyAlignment="1" applyProtection="1">
      <alignment vertical="center" wrapText="1"/>
      <protection locked="0"/>
    </xf>
    <xf numFmtId="2" fontId="19" fillId="0" borderId="19" xfId="0" quotePrefix="1" applyNumberFormat="1" applyFont="1" applyFill="1" applyBorder="1" applyAlignment="1" applyProtection="1">
      <alignment vertical="center" wrapText="1"/>
      <protection locked="0"/>
    </xf>
    <xf numFmtId="2" fontId="19" fillId="0" borderId="22" xfId="10" applyNumberFormat="1" applyFont="1" applyFill="1" applyBorder="1" applyAlignment="1" applyProtection="1">
      <alignment horizontal="center" vertical="center"/>
      <protection locked="0"/>
    </xf>
    <xf numFmtId="2" fontId="19" fillId="0" borderId="23" xfId="10" applyNumberFormat="1" applyFont="1" applyFill="1" applyBorder="1" applyAlignment="1" applyProtection="1">
      <alignment horizontal="center" vertical="center"/>
      <protection locked="0"/>
    </xf>
    <xf numFmtId="2" fontId="19" fillId="0" borderId="0" xfId="10" applyNumberFormat="1" applyFont="1" applyFill="1" applyAlignment="1" applyProtection="1">
      <alignment horizontal="center" vertical="top"/>
      <protection locked="0"/>
    </xf>
    <xf numFmtId="0" fontId="18" fillId="2" borderId="0" xfId="0" applyFont="1" applyFill="1" applyAlignment="1">
      <alignment wrapText="1"/>
    </xf>
    <xf numFmtId="170" fontId="10" fillId="0" borderId="14" xfId="0" applyNumberFormat="1" applyFont="1" applyBorder="1" applyAlignment="1">
      <alignment horizontal="center"/>
    </xf>
    <xf numFmtId="166" fontId="10" fillId="0" borderId="14" xfId="0" applyNumberFormat="1" applyFont="1" applyBorder="1" applyAlignment="1">
      <alignment horizontal="center"/>
    </xf>
    <xf numFmtId="2" fontId="19" fillId="0" borderId="0" xfId="10" applyNumberFormat="1" applyFont="1" applyFill="1" applyBorder="1" applyAlignment="1" applyProtection="1">
      <alignment horizontal="center" vertical="top"/>
      <protection locked="0"/>
    </xf>
    <xf numFmtId="2" fontId="19" fillId="0" borderId="20" xfId="10" applyNumberFormat="1" applyFont="1" applyFill="1" applyBorder="1" applyAlignment="1" applyProtection="1">
      <alignment horizontal="center" vertical="top"/>
      <protection locked="0"/>
    </xf>
    <xf numFmtId="166" fontId="19" fillId="0" borderId="32" xfId="10" applyNumberFormat="1" applyFont="1" applyFill="1" applyBorder="1" applyAlignment="1" applyProtection="1">
      <alignment horizontal="center" vertical="center" wrapText="1"/>
      <protection locked="0"/>
    </xf>
    <xf numFmtId="174" fontId="19" fillId="0" borderId="32" xfId="10" applyNumberFormat="1" applyFont="1" applyFill="1" applyBorder="1" applyAlignment="1" applyProtection="1">
      <alignment horizontal="center" vertical="center" wrapText="1"/>
      <protection locked="0"/>
    </xf>
    <xf numFmtId="164" fontId="23" fillId="0" borderId="32" xfId="11" applyNumberFormat="1" applyFont="1" applyFill="1" applyBorder="1" applyAlignment="1" applyProtection="1">
      <alignment horizontal="center" vertical="center" wrapText="1"/>
      <protection locked="0"/>
    </xf>
    <xf numFmtId="164" fontId="23" fillId="0" borderId="33" xfId="11" applyNumberFormat="1" applyFont="1" applyFill="1" applyBorder="1" applyAlignment="1" applyProtection="1">
      <alignment horizontal="center" vertical="center" wrapText="1"/>
      <protection locked="0"/>
    </xf>
    <xf numFmtId="1" fontId="19" fillId="0" borderId="32" xfId="10" applyNumberFormat="1" applyFont="1" applyFill="1" applyBorder="1" applyAlignment="1" applyProtection="1">
      <alignment horizontal="center" vertical="top" wrapText="1"/>
      <protection locked="0"/>
    </xf>
    <xf numFmtId="0" fontId="19" fillId="0" borderId="32" xfId="10" applyFont="1" applyFill="1" applyBorder="1" applyAlignment="1" applyProtection="1">
      <alignment horizontal="center" vertical="top"/>
      <protection locked="0"/>
    </xf>
    <xf numFmtId="1" fontId="19" fillId="0" borderId="32" xfId="10" applyNumberFormat="1" applyFont="1" applyFill="1" applyBorder="1" applyAlignment="1" applyProtection="1">
      <alignment horizontal="center" vertical="top"/>
      <protection locked="0"/>
    </xf>
    <xf numFmtId="1" fontId="19" fillId="0" borderId="33" xfId="10" applyNumberFormat="1" applyFont="1" applyFill="1" applyBorder="1" applyAlignment="1" applyProtection="1">
      <alignment horizontal="center" vertical="top"/>
      <protection locked="0"/>
    </xf>
    <xf numFmtId="2" fontId="20" fillId="0" borderId="0" xfId="0" applyNumberFormat="1" applyFont="1" applyFill="1" applyAlignment="1" applyProtection="1">
      <alignment horizontal="centerContinuous" vertical="top"/>
      <protection locked="0"/>
    </xf>
    <xf numFmtId="2" fontId="19" fillId="0" borderId="0" xfId="0" applyNumberFormat="1" applyFont="1" applyFill="1" applyAlignment="1" applyProtection="1">
      <alignment horizontal="centerContinuous" vertical="top"/>
      <protection locked="0"/>
    </xf>
    <xf numFmtId="2" fontId="20" fillId="0" borderId="24" xfId="0" applyNumberFormat="1" applyFont="1" applyFill="1" applyBorder="1" applyAlignment="1" applyProtection="1">
      <alignment vertical="center"/>
      <protection locked="0"/>
    </xf>
    <xf numFmtId="2" fontId="20" fillId="0" borderId="30" xfId="0" quotePrefix="1" applyNumberFormat="1" applyFont="1" applyFill="1" applyBorder="1" applyAlignment="1" applyProtection="1">
      <alignment horizontal="center" vertical="center" wrapText="1"/>
      <protection locked="0"/>
    </xf>
    <xf numFmtId="2" fontId="20" fillId="0" borderId="31" xfId="0" quotePrefix="1" applyNumberFormat="1" applyFont="1" applyFill="1" applyBorder="1" applyAlignment="1" applyProtection="1">
      <alignment horizontal="center" vertical="center" wrapText="1"/>
      <protection locked="0"/>
    </xf>
    <xf numFmtId="2" fontId="19" fillId="0" borderId="35" xfId="0" applyNumberFormat="1" applyFont="1" applyFill="1" applyBorder="1" applyAlignment="1" applyProtection="1">
      <alignment horizontal="center" vertical="center" wrapText="1"/>
      <protection locked="0"/>
    </xf>
    <xf numFmtId="2" fontId="19" fillId="0" borderId="26" xfId="0" applyNumberFormat="1" applyFont="1" applyFill="1" applyBorder="1" applyAlignment="1" applyProtection="1">
      <alignment horizontal="center" vertical="center" wrapText="1"/>
      <protection locked="0"/>
    </xf>
    <xf numFmtId="1" fontId="19" fillId="0" borderId="36" xfId="0" applyNumberFormat="1" applyFont="1" applyFill="1" applyBorder="1" applyAlignment="1" applyProtection="1">
      <alignment horizontal="center" vertical="center"/>
      <protection locked="0"/>
    </xf>
    <xf numFmtId="1" fontId="19" fillId="0" borderId="31" xfId="0" applyNumberFormat="1" applyFont="1" applyFill="1" applyBorder="1" applyAlignment="1" applyProtection="1">
      <alignment horizontal="center" vertical="center"/>
      <protection locked="0"/>
    </xf>
    <xf numFmtId="1" fontId="19" fillId="0" borderId="14" xfId="0" applyNumberFormat="1" applyFont="1" applyFill="1" applyBorder="1" applyAlignment="1" applyProtection="1">
      <alignment horizontal="center" vertical="center"/>
      <protection locked="0"/>
    </xf>
    <xf numFmtId="1" fontId="19" fillId="0" borderId="33" xfId="0" applyNumberFormat="1" applyFont="1" applyFill="1" applyBorder="1" applyAlignment="1" applyProtection="1">
      <alignment horizontal="center" vertical="center"/>
      <protection locked="0"/>
    </xf>
    <xf numFmtId="3" fontId="19" fillId="0" borderId="14" xfId="9" applyNumberFormat="1" applyFont="1" applyFill="1" applyBorder="1" applyAlignment="1" applyProtection="1">
      <alignment horizontal="center" vertical="center"/>
      <protection locked="0"/>
    </xf>
    <xf numFmtId="3" fontId="19" fillId="0" borderId="33" xfId="9" applyNumberFormat="1" applyFont="1" applyFill="1" applyBorder="1" applyAlignment="1" applyProtection="1">
      <alignment horizontal="center" vertical="center"/>
      <protection locked="0"/>
    </xf>
    <xf numFmtId="2" fontId="19" fillId="0" borderId="14" xfId="0" applyNumberFormat="1" applyFont="1" applyFill="1" applyBorder="1" applyAlignment="1" applyProtection="1">
      <alignment horizontal="center" vertical="center"/>
      <protection locked="0"/>
    </xf>
    <xf numFmtId="2" fontId="19" fillId="0" borderId="33" xfId="0" applyNumberFormat="1" applyFont="1" applyFill="1" applyBorder="1" applyAlignment="1" applyProtection="1">
      <alignment horizontal="center" vertical="center"/>
      <protection locked="0"/>
    </xf>
    <xf numFmtId="9" fontId="19" fillId="0" borderId="14" xfId="11" applyFont="1" applyFill="1" applyBorder="1" applyAlignment="1" applyProtection="1">
      <alignment horizontal="center" vertical="center" wrapText="1"/>
      <protection locked="0"/>
    </xf>
    <xf numFmtId="9" fontId="19" fillId="0" borderId="33" xfId="11"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center" vertical="center" wrapText="1"/>
      <protection locked="0"/>
    </xf>
    <xf numFmtId="3" fontId="19" fillId="0" borderId="14" xfId="0" applyNumberFormat="1" applyFont="1" applyFill="1" applyBorder="1" applyAlignment="1" applyProtection="1">
      <alignment horizontal="center" vertical="center" wrapText="1"/>
      <protection locked="0"/>
    </xf>
    <xf numFmtId="3" fontId="19" fillId="0" borderId="33" xfId="0" applyNumberFormat="1" applyFont="1" applyFill="1" applyBorder="1" applyAlignment="1" applyProtection="1">
      <alignment horizontal="center" vertical="center" wrapText="1"/>
      <protection locked="0"/>
    </xf>
    <xf numFmtId="164" fontId="19" fillId="0" borderId="14" xfId="0" applyNumberFormat="1" applyFont="1" applyFill="1" applyBorder="1" applyAlignment="1" applyProtection="1">
      <alignment horizontal="center" vertical="center"/>
      <protection locked="0"/>
    </xf>
    <xf numFmtId="164" fontId="19" fillId="0" borderId="33" xfId="0" applyNumberFormat="1" applyFont="1" applyFill="1" applyBorder="1" applyAlignment="1" applyProtection="1">
      <alignment horizontal="center" vertical="center"/>
      <protection locked="0"/>
    </xf>
    <xf numFmtId="2" fontId="19" fillId="0" borderId="14" xfId="0" applyNumberFormat="1" applyFont="1" applyFill="1" applyBorder="1" applyAlignment="1" applyProtection="1">
      <alignment horizontal="center" vertical="center" wrapText="1"/>
      <protection locked="0"/>
    </xf>
    <xf numFmtId="2" fontId="19" fillId="0" borderId="33" xfId="0" applyNumberFormat="1" applyFont="1" applyFill="1" applyBorder="1" applyAlignment="1" applyProtection="1">
      <alignment horizontal="center" vertical="center" wrapText="1"/>
      <protection locked="0"/>
    </xf>
    <xf numFmtId="2" fontId="19" fillId="0" borderId="14" xfId="0" quotePrefix="1" applyNumberFormat="1" applyFont="1" applyFill="1" applyBorder="1" applyAlignment="1" applyProtection="1">
      <alignment horizontal="center" vertical="center" wrapText="1"/>
      <protection locked="0"/>
    </xf>
    <xf numFmtId="2" fontId="19" fillId="0" borderId="33" xfId="0" quotePrefix="1" applyNumberFormat="1" applyFont="1" applyFill="1" applyBorder="1" applyAlignment="1" applyProtection="1">
      <alignment horizontal="center" vertical="center" wrapText="1"/>
      <protection locked="0"/>
    </xf>
    <xf numFmtId="1" fontId="19" fillId="0" borderId="14" xfId="0" applyNumberFormat="1" applyFont="1" applyFill="1" applyBorder="1" applyAlignment="1" applyProtection="1">
      <alignment horizontal="center" vertical="center" wrapText="1"/>
      <protection locked="0"/>
    </xf>
    <xf numFmtId="1" fontId="19" fillId="0" borderId="33" xfId="0" applyNumberFormat="1" applyFont="1" applyFill="1" applyBorder="1" applyAlignment="1" applyProtection="1">
      <alignment horizontal="center" vertical="center" wrapText="1"/>
      <protection locked="0"/>
    </xf>
    <xf numFmtId="2" fontId="20" fillId="0" borderId="34" xfId="0" applyNumberFormat="1" applyFont="1" applyFill="1" applyBorder="1" applyAlignment="1" applyProtection="1">
      <alignment horizontal="left" vertical="center"/>
      <protection locked="0"/>
    </xf>
    <xf numFmtId="2" fontId="19" fillId="0" borderId="37" xfId="0" applyNumberFormat="1" applyFont="1" applyFill="1" applyBorder="1" applyAlignment="1" applyProtection="1">
      <alignment horizontal="center" vertical="center"/>
      <protection locked="0"/>
    </xf>
    <xf numFmtId="2" fontId="19" fillId="0" borderId="38" xfId="0" applyNumberFormat="1" applyFont="1" applyFill="1" applyBorder="1" applyAlignment="1" applyProtection="1">
      <alignment horizontal="center" vertical="center"/>
      <protection locked="0"/>
    </xf>
    <xf numFmtId="3" fontId="19" fillId="0" borderId="30" xfId="0" applyNumberFormat="1" applyFont="1" applyFill="1" applyBorder="1" applyAlignment="1" applyProtection="1">
      <alignment horizontal="center" vertical="center"/>
      <protection locked="0"/>
    </xf>
    <xf numFmtId="3" fontId="19" fillId="0" borderId="31" xfId="0" applyNumberFormat="1" applyFont="1" applyFill="1" applyBorder="1" applyAlignment="1" applyProtection="1">
      <alignment horizontal="center" vertical="center"/>
      <protection locked="0"/>
    </xf>
    <xf numFmtId="37" fontId="23" fillId="0" borderId="32" xfId="9" applyNumberFormat="1" applyFont="1" applyFill="1" applyBorder="1" applyAlignment="1" applyProtection="1">
      <alignment horizontal="center" vertical="center"/>
      <protection locked="0"/>
    </xf>
    <xf numFmtId="37" fontId="23" fillId="0" borderId="33" xfId="9" applyNumberFormat="1" applyFont="1" applyFill="1" applyBorder="1" applyAlignment="1" applyProtection="1">
      <alignment horizontal="center" vertical="center"/>
      <protection locked="0"/>
    </xf>
    <xf numFmtId="37" fontId="19" fillId="0" borderId="32" xfId="9" applyNumberFormat="1" applyFont="1" applyFill="1" applyBorder="1" applyAlignment="1" applyProtection="1">
      <alignment horizontal="center" vertical="center"/>
      <protection locked="0"/>
    </xf>
    <xf numFmtId="37" fontId="19" fillId="0" borderId="33" xfId="9" applyNumberFormat="1" applyFont="1" applyFill="1" applyBorder="1" applyAlignment="1" applyProtection="1">
      <alignment horizontal="center" vertical="center"/>
      <protection locked="0"/>
    </xf>
    <xf numFmtId="2" fontId="19" fillId="0" borderId="21" xfId="0" quotePrefix="1" applyNumberFormat="1" applyFont="1" applyFill="1" applyBorder="1" applyAlignment="1" applyProtection="1">
      <alignment horizontal="left" vertical="center"/>
      <protection locked="0"/>
    </xf>
    <xf numFmtId="175" fontId="19" fillId="0" borderId="28" xfId="0" applyNumberFormat="1" applyFont="1" applyFill="1" applyBorder="1" applyAlignment="1" applyProtection="1">
      <alignment horizontal="center" vertical="center"/>
      <protection locked="0"/>
    </xf>
    <xf numFmtId="175" fontId="19" fillId="0" borderId="29" xfId="0" applyNumberFormat="1" applyFont="1" applyFill="1" applyBorder="1" applyAlignment="1" applyProtection="1">
      <alignment horizontal="center" vertical="center"/>
      <protection locked="0"/>
    </xf>
    <xf numFmtId="2" fontId="20" fillId="0" borderId="21" xfId="0" applyNumberFormat="1" applyFont="1" applyFill="1" applyBorder="1" applyAlignment="1" applyProtection="1">
      <alignment horizontal="left" vertical="center"/>
      <protection locked="0"/>
    </xf>
    <xf numFmtId="2" fontId="19" fillId="0" borderId="22" xfId="0" applyNumberFormat="1" applyFont="1" applyFill="1" applyBorder="1" applyAlignment="1" applyProtection="1">
      <alignment horizontal="center" vertical="center"/>
      <protection locked="0"/>
    </xf>
    <xf numFmtId="2" fontId="19" fillId="0" borderId="23" xfId="0" applyNumberFormat="1" applyFont="1" applyFill="1" applyBorder="1" applyAlignment="1" applyProtection="1">
      <alignment horizontal="center" vertical="center"/>
      <protection locked="0"/>
    </xf>
    <xf numFmtId="2" fontId="20" fillId="0" borderId="0" xfId="0" applyNumberFormat="1" applyFont="1" applyFill="1" applyAlignment="1" applyProtection="1">
      <alignment vertical="top"/>
      <protection locked="0"/>
    </xf>
    <xf numFmtId="168" fontId="19" fillId="0" borderId="0" xfId="0" applyNumberFormat="1" applyFont="1" applyFill="1" applyAlignment="1" applyProtection="1">
      <alignment horizontal="center" vertical="center" wrapText="1"/>
      <protection locked="0"/>
    </xf>
    <xf numFmtId="2" fontId="19" fillId="0" borderId="0" xfId="0" applyNumberFormat="1" applyFont="1" applyFill="1" applyAlignment="1" applyProtection="1">
      <alignment horizontal="left" vertical="center"/>
      <protection locked="0"/>
    </xf>
    <xf numFmtId="168" fontId="20" fillId="0" borderId="32" xfId="0" applyNumberFormat="1" applyFont="1" applyFill="1" applyBorder="1" applyAlignment="1" applyProtection="1">
      <alignment horizontal="center" vertical="center" wrapText="1"/>
      <protection locked="0"/>
    </xf>
    <xf numFmtId="168" fontId="20" fillId="0" borderId="33" xfId="0" applyNumberFormat="1" applyFont="1" applyFill="1" applyBorder="1" applyAlignment="1" applyProtection="1">
      <alignment horizontal="center" vertical="center" wrapText="1"/>
      <protection locked="0"/>
    </xf>
    <xf numFmtId="168" fontId="19" fillId="0" borderId="32" xfId="0" applyNumberFormat="1" applyFont="1" applyFill="1" applyBorder="1" applyAlignment="1" applyProtection="1">
      <alignment horizontal="center" vertical="center" wrapText="1"/>
      <protection locked="0"/>
    </xf>
    <xf numFmtId="168" fontId="19" fillId="0" borderId="33" xfId="0" applyNumberFormat="1" applyFont="1" applyFill="1" applyBorder="1" applyAlignment="1" applyProtection="1">
      <alignment horizontal="center" vertical="center" wrapText="1"/>
      <protection locked="0"/>
    </xf>
    <xf numFmtId="167" fontId="19" fillId="0" borderId="32" xfId="0" applyNumberFormat="1" applyFont="1" applyFill="1" applyBorder="1" applyAlignment="1" applyProtection="1">
      <alignment horizontal="center" vertical="center"/>
      <protection locked="0"/>
    </xf>
    <xf numFmtId="167" fontId="19" fillId="0" borderId="33" xfId="0" applyNumberFormat="1" applyFont="1" applyFill="1" applyBorder="1" applyAlignment="1" applyProtection="1">
      <alignment horizontal="center" vertical="center"/>
      <protection locked="0"/>
    </xf>
    <xf numFmtId="168" fontId="19" fillId="0" borderId="32" xfId="0" applyNumberFormat="1" applyFont="1" applyFill="1" applyBorder="1" applyAlignment="1" applyProtection="1">
      <alignment horizontal="center" vertical="center"/>
      <protection locked="0"/>
    </xf>
    <xf numFmtId="168" fontId="19" fillId="0" borderId="33" xfId="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top"/>
      <protection locked="0"/>
    </xf>
    <xf numFmtId="3" fontId="19" fillId="0" borderId="37" xfId="0" applyNumberFormat="1" applyFont="1" applyFill="1" applyBorder="1" applyAlignment="1" applyProtection="1">
      <alignment horizontal="center" vertical="center"/>
      <protection locked="0"/>
    </xf>
    <xf numFmtId="3" fontId="19" fillId="0" borderId="38" xfId="0" applyNumberFormat="1" applyFont="1" applyFill="1" applyBorder="1" applyAlignment="1" applyProtection="1">
      <alignment horizontal="center" vertical="center"/>
      <protection locked="0"/>
    </xf>
    <xf numFmtId="2" fontId="19" fillId="0" borderId="39" xfId="0" applyNumberFormat="1" applyFont="1" applyFill="1" applyBorder="1" applyAlignment="1" applyProtection="1">
      <alignment horizontal="left" vertical="center"/>
      <protection locked="0"/>
    </xf>
    <xf numFmtId="0" fontId="19" fillId="0" borderId="30" xfId="0" applyFont="1" applyFill="1" applyBorder="1" applyAlignment="1" applyProtection="1">
      <alignment horizontal="center" vertical="top"/>
      <protection locked="0"/>
    </xf>
    <xf numFmtId="0" fontId="19" fillId="0" borderId="31" xfId="0" applyFont="1" applyFill="1" applyBorder="1" applyAlignment="1" applyProtection="1">
      <alignment horizontal="center" vertical="top"/>
      <protection locked="0"/>
    </xf>
    <xf numFmtId="2" fontId="19" fillId="0" borderId="40" xfId="0" applyNumberFormat="1" applyFont="1" applyFill="1" applyBorder="1" applyAlignment="1" applyProtection="1">
      <alignment horizontal="left" vertical="center"/>
      <protection locked="0"/>
    </xf>
    <xf numFmtId="2" fontId="19" fillId="0" borderId="41" xfId="0" applyNumberFormat="1" applyFont="1" applyFill="1" applyBorder="1" applyAlignment="1" applyProtection="1">
      <alignment vertical="top"/>
      <protection locked="0"/>
    </xf>
    <xf numFmtId="2" fontId="19" fillId="0" borderId="28" xfId="0" applyNumberFormat="1" applyFont="1" applyFill="1" applyBorder="1" applyAlignment="1" applyProtection="1">
      <alignment horizontal="center" vertical="top"/>
      <protection locked="0"/>
    </xf>
    <xf numFmtId="2" fontId="19" fillId="0" borderId="29" xfId="0" applyNumberFormat="1" applyFont="1" applyFill="1" applyBorder="1" applyAlignment="1" applyProtection="1">
      <alignment horizontal="center" vertical="top"/>
      <protection locked="0"/>
    </xf>
    <xf numFmtId="2" fontId="25" fillId="0" borderId="16" xfId="0" quotePrefix="1" applyNumberFormat="1" applyFont="1" applyFill="1" applyBorder="1" applyAlignment="1" applyProtection="1">
      <alignment horizontal="left" vertical="center"/>
      <protection locked="0"/>
    </xf>
    <xf numFmtId="2" fontId="19" fillId="0" borderId="21" xfId="0" applyNumberFormat="1" applyFont="1" applyFill="1" applyBorder="1" applyAlignment="1" applyProtection="1">
      <alignment horizontal="left" vertical="center"/>
      <protection locked="0"/>
    </xf>
    <xf numFmtId="2" fontId="19" fillId="0" borderId="0" xfId="0" applyNumberFormat="1" applyFont="1" applyFill="1" applyAlignment="1" applyProtection="1">
      <alignment horizontal="center" vertical="top"/>
      <protection locked="0"/>
    </xf>
    <xf numFmtId="0" fontId="7" fillId="0" borderId="0" xfId="0" applyFont="1" applyFill="1"/>
    <xf numFmtId="0" fontId="27" fillId="2" borderId="0" xfId="0" applyFont="1" applyFill="1" applyAlignment="1">
      <alignment horizontal="center"/>
    </xf>
    <xf numFmtId="4" fontId="10" fillId="0" borderId="0" xfId="0" applyNumberFormat="1" applyFont="1"/>
    <xf numFmtId="0" fontId="0" fillId="3" borderId="0" xfId="0" applyFill="1"/>
    <xf numFmtId="0" fontId="10" fillId="0" borderId="0" xfId="0" applyFont="1" applyFill="1"/>
    <xf numFmtId="0" fontId="27" fillId="2" borderId="0" xfId="0" applyFont="1" applyFill="1" applyAlignment="1">
      <alignment horizontal="center"/>
    </xf>
    <xf numFmtId="168" fontId="20" fillId="0" borderId="0" xfId="10" applyNumberFormat="1" applyFont="1" applyFill="1" applyAlignment="1" applyProtection="1">
      <alignment horizontal="center" vertical="center" wrapText="1"/>
      <protection locked="0"/>
    </xf>
    <xf numFmtId="168" fontId="20" fillId="0" borderId="0" xfId="10" applyNumberFormat="1" applyFont="1" applyFill="1" applyAlignment="1" applyProtection="1">
      <alignment horizontal="left" vertical="center"/>
      <protection locked="0"/>
    </xf>
    <xf numFmtId="168" fontId="19" fillId="0" borderId="0" xfId="10" applyNumberFormat="1" applyFont="1" applyFill="1" applyAlignment="1" applyProtection="1">
      <alignment horizontal="center" vertical="center" wrapText="1"/>
      <protection locked="0"/>
    </xf>
    <xf numFmtId="2" fontId="19" fillId="0" borderId="0" xfId="10" applyNumberFormat="1" applyFont="1" applyFill="1" applyAlignment="1" applyProtection="1">
      <alignment horizontal="left" vertical="center"/>
      <protection locked="0"/>
    </xf>
    <xf numFmtId="2" fontId="19" fillId="0" borderId="23" xfId="10" applyNumberFormat="1" applyFont="1" applyFill="1" applyBorder="1" applyAlignment="1" applyProtection="1">
      <alignment horizontal="center" vertical="center" wrapText="1"/>
      <protection locked="0"/>
    </xf>
    <xf numFmtId="0" fontId="0" fillId="0" borderId="0" xfId="0" applyFill="1"/>
    <xf numFmtId="0" fontId="0" fillId="0" borderId="0" xfId="0" applyFill="1" applyAlignment="1">
      <alignment horizontal="center"/>
    </xf>
    <xf numFmtId="0" fontId="28" fillId="0" borderId="0" xfId="0" applyFont="1" applyFill="1"/>
    <xf numFmtId="0" fontId="28" fillId="0" borderId="44" xfId="0" applyFont="1" applyFill="1" applyBorder="1" applyAlignment="1">
      <alignment horizontal="center" wrapText="1"/>
    </xf>
    <xf numFmtId="0" fontId="0" fillId="0" borderId="44" xfId="0" applyFill="1" applyBorder="1" applyAlignment="1">
      <alignment vertical="center"/>
    </xf>
    <xf numFmtId="0" fontId="0" fillId="0" borderId="44" xfId="0" applyFill="1" applyBorder="1" applyAlignment="1">
      <alignment horizontal="center" vertical="center"/>
    </xf>
    <xf numFmtId="0" fontId="0" fillId="0" borderId="44" xfId="0" applyFill="1" applyBorder="1" applyAlignment="1">
      <alignment horizont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wrapText="1"/>
    </xf>
    <xf numFmtId="0" fontId="28" fillId="0" borderId="44" xfId="0" applyFont="1" applyFill="1" applyBorder="1" applyAlignment="1">
      <alignment horizontal="center"/>
    </xf>
    <xf numFmtId="0" fontId="0" fillId="0" borderId="44" xfId="0" quotePrefix="1" applyFill="1" applyBorder="1" applyAlignment="1">
      <alignment horizontal="center" vertical="center"/>
    </xf>
    <xf numFmtId="0" fontId="0" fillId="0" borderId="44" xfId="0" quotePrefix="1" applyFill="1" applyBorder="1" applyAlignment="1">
      <alignment horizontal="center"/>
    </xf>
    <xf numFmtId="0" fontId="0" fillId="0" borderId="0" xfId="0" applyFill="1" applyAlignment="1">
      <alignment horizontal="center" vertical="center"/>
    </xf>
    <xf numFmtId="1" fontId="0" fillId="0" borderId="44" xfId="0" applyNumberFormat="1" applyFill="1" applyBorder="1" applyAlignment="1">
      <alignment horizontal="center"/>
    </xf>
    <xf numFmtId="1" fontId="0" fillId="0" borderId="44" xfId="0" quotePrefix="1" applyNumberFormat="1" applyFill="1" applyBorder="1" applyAlignment="1">
      <alignment horizontal="center" vertical="center"/>
    </xf>
    <xf numFmtId="0" fontId="13" fillId="0" borderId="3" xfId="3" applyFont="1" applyBorder="1" applyAlignment="1">
      <alignment horizontal="center"/>
    </xf>
    <xf numFmtId="0" fontId="13" fillId="0" borderId="4" xfId="3" applyFont="1" applyBorder="1" applyAlignment="1">
      <alignment horizontal="center"/>
    </xf>
    <xf numFmtId="0" fontId="13" fillId="0" borderId="5" xfId="3" applyFont="1" applyBorder="1" applyAlignment="1">
      <alignment horizontal="center"/>
    </xf>
    <xf numFmtId="0" fontId="14" fillId="0" borderId="42" xfId="4" applyFont="1" applyBorder="1" applyAlignment="1">
      <alignment horizontal="center" vertical="center" wrapText="1"/>
    </xf>
    <xf numFmtId="0" fontId="14" fillId="0" borderId="9" xfId="4" applyFont="1" applyBorder="1" applyAlignment="1">
      <alignment horizontal="center" vertical="center" wrapText="1"/>
    </xf>
    <xf numFmtId="0" fontId="14" fillId="0" borderId="43" xfId="4" applyFont="1" applyBorder="1" applyAlignment="1">
      <alignment horizontal="center" vertical="center" wrapText="1"/>
    </xf>
    <xf numFmtId="0" fontId="27" fillId="2" borderId="0" xfId="0" applyFont="1" applyFill="1" applyAlignment="1">
      <alignment horizontal="center" vertical="center"/>
    </xf>
    <xf numFmtId="0" fontId="14" fillId="0" borderId="14" xfId="4" applyFont="1" applyBorder="1" applyAlignment="1">
      <alignment horizontal="center" vertical="center" wrapText="1"/>
    </xf>
    <xf numFmtId="0" fontId="15" fillId="0" borderId="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3" xfId="0" applyFont="1" applyBorder="1" applyAlignment="1">
      <alignment horizontal="center" vertical="center" wrapText="1"/>
    </xf>
    <xf numFmtId="2" fontId="20" fillId="0" borderId="16" xfId="10" applyNumberFormat="1" applyFont="1" applyFill="1" applyBorder="1" applyAlignment="1" applyProtection="1">
      <alignment horizontal="center" vertical="top"/>
      <protection locked="0"/>
    </xf>
    <xf numFmtId="2" fontId="20" fillId="0" borderId="17" xfId="10" applyNumberFormat="1" applyFont="1" applyFill="1" applyBorder="1" applyAlignment="1" applyProtection="1">
      <alignment horizontal="center" vertical="top"/>
      <protection locked="0"/>
    </xf>
    <xf numFmtId="2" fontId="20" fillId="0" borderId="18" xfId="10" applyNumberFormat="1" applyFont="1" applyFill="1" applyBorder="1" applyAlignment="1" applyProtection="1">
      <alignment horizontal="center" vertical="top"/>
      <protection locked="0"/>
    </xf>
    <xf numFmtId="2" fontId="20" fillId="0" borderId="19" xfId="10" applyNumberFormat="1" applyFont="1" applyFill="1" applyBorder="1" applyAlignment="1" applyProtection="1">
      <alignment horizontal="center" vertical="top"/>
      <protection locked="0"/>
    </xf>
    <xf numFmtId="2" fontId="20" fillId="0" borderId="0" xfId="10" applyNumberFormat="1" applyFont="1" applyFill="1" applyBorder="1" applyAlignment="1" applyProtection="1">
      <alignment horizontal="center" vertical="top"/>
      <protection locked="0"/>
    </xf>
    <xf numFmtId="2" fontId="20" fillId="0" borderId="20" xfId="10" applyNumberFormat="1" applyFont="1" applyFill="1" applyBorder="1" applyAlignment="1" applyProtection="1">
      <alignment horizontal="center" vertical="top"/>
      <protection locked="0"/>
    </xf>
    <xf numFmtId="2" fontId="21" fillId="0" borderId="19" xfId="10" applyNumberFormat="1" applyFont="1" applyFill="1" applyBorder="1" applyAlignment="1" applyProtection="1">
      <alignment horizontal="center" vertical="top"/>
      <protection locked="0"/>
    </xf>
    <xf numFmtId="2" fontId="21" fillId="0" borderId="0" xfId="10" applyNumberFormat="1" applyFont="1" applyFill="1" applyBorder="1" applyAlignment="1" applyProtection="1">
      <alignment horizontal="center" vertical="top"/>
      <protection locked="0"/>
    </xf>
    <xf numFmtId="2" fontId="21" fillId="0" borderId="20" xfId="10" applyNumberFormat="1" applyFont="1" applyFill="1" applyBorder="1" applyAlignment="1" applyProtection="1">
      <alignment horizontal="center" vertical="top"/>
      <protection locked="0"/>
    </xf>
    <xf numFmtId="2" fontId="20" fillId="0" borderId="21" xfId="10" quotePrefix="1" applyNumberFormat="1" applyFont="1" applyFill="1" applyBorder="1" applyAlignment="1" applyProtection="1">
      <alignment horizontal="center" vertical="top"/>
      <protection locked="0"/>
    </xf>
    <xf numFmtId="2" fontId="20" fillId="0" borderId="22" xfId="10" quotePrefix="1" applyNumberFormat="1" applyFont="1" applyFill="1" applyBorder="1" applyAlignment="1" applyProtection="1">
      <alignment horizontal="center" vertical="top"/>
      <protection locked="0"/>
    </xf>
    <xf numFmtId="2" fontId="20" fillId="0" borderId="23" xfId="10" quotePrefix="1" applyNumberFormat="1" applyFont="1" applyFill="1" applyBorder="1" applyAlignment="1" applyProtection="1">
      <alignment horizontal="center" vertical="top"/>
      <protection locked="0"/>
    </xf>
    <xf numFmtId="2" fontId="20" fillId="0" borderId="16" xfId="0" applyNumberFormat="1" applyFont="1" applyFill="1" applyBorder="1" applyAlignment="1" applyProtection="1">
      <alignment horizontal="center" vertical="top"/>
      <protection locked="0"/>
    </xf>
    <xf numFmtId="2" fontId="20" fillId="0" borderId="17" xfId="0" applyNumberFormat="1" applyFont="1" applyFill="1" applyBorder="1" applyAlignment="1" applyProtection="1">
      <alignment horizontal="center" vertical="top"/>
      <protection locked="0"/>
    </xf>
    <xf numFmtId="2" fontId="20" fillId="0" borderId="18" xfId="0" applyNumberFormat="1" applyFont="1" applyFill="1" applyBorder="1" applyAlignment="1" applyProtection="1">
      <alignment horizontal="center" vertical="top"/>
      <protection locked="0"/>
    </xf>
    <xf numFmtId="2" fontId="20" fillId="0" borderId="19" xfId="0" applyNumberFormat="1" applyFont="1" applyFill="1" applyBorder="1" applyAlignment="1" applyProtection="1">
      <alignment horizontal="center" vertical="top"/>
      <protection locked="0"/>
    </xf>
    <xf numFmtId="2" fontId="20" fillId="0" borderId="0" xfId="0" applyNumberFormat="1" applyFont="1" applyFill="1" applyBorder="1" applyAlignment="1" applyProtection="1">
      <alignment horizontal="center" vertical="top"/>
      <protection locked="0"/>
    </xf>
    <xf numFmtId="2" fontId="20" fillId="0" borderId="20" xfId="0" applyNumberFormat="1" applyFont="1" applyFill="1" applyBorder="1" applyAlignment="1" applyProtection="1">
      <alignment horizontal="center" vertical="top"/>
      <protection locked="0"/>
    </xf>
    <xf numFmtId="2" fontId="21" fillId="0" borderId="19" xfId="0" applyNumberFormat="1" applyFont="1" applyFill="1" applyBorder="1" applyAlignment="1" applyProtection="1">
      <alignment horizontal="center" vertical="top"/>
      <protection locked="0"/>
    </xf>
    <xf numFmtId="2" fontId="21" fillId="0" borderId="0" xfId="0" applyNumberFormat="1" applyFont="1" applyFill="1" applyBorder="1" applyAlignment="1" applyProtection="1">
      <alignment horizontal="center" vertical="top"/>
      <protection locked="0"/>
    </xf>
    <xf numFmtId="2" fontId="21" fillId="0" borderId="20" xfId="0" applyNumberFormat="1" applyFont="1" applyFill="1" applyBorder="1" applyAlignment="1" applyProtection="1">
      <alignment horizontal="center" vertical="top"/>
      <protection locked="0"/>
    </xf>
    <xf numFmtId="2" fontId="20" fillId="0" borderId="21" xfId="0" quotePrefix="1" applyNumberFormat="1" applyFont="1" applyFill="1" applyBorder="1" applyAlignment="1" applyProtection="1">
      <alignment horizontal="center" vertical="top"/>
      <protection locked="0"/>
    </xf>
    <xf numFmtId="2" fontId="20" fillId="0" borderId="22" xfId="0" quotePrefix="1" applyNumberFormat="1" applyFont="1" applyFill="1" applyBorder="1" applyAlignment="1" applyProtection="1">
      <alignment horizontal="center" vertical="top"/>
      <protection locked="0"/>
    </xf>
    <xf numFmtId="2" fontId="20" fillId="0" borderId="23" xfId="0" applyNumberFormat="1" applyFont="1" applyFill="1" applyBorder="1" applyAlignment="1" applyProtection="1">
      <alignment horizontal="center" vertical="top"/>
      <protection locked="0"/>
    </xf>
    <xf numFmtId="0" fontId="28" fillId="0" borderId="44" xfId="0" applyFont="1" applyFill="1" applyBorder="1" applyAlignment="1">
      <alignment horizontal="center"/>
    </xf>
    <xf numFmtId="0" fontId="28" fillId="0" borderId="45" xfId="0" applyFont="1" applyFill="1" applyBorder="1" applyAlignment="1">
      <alignment horizontal="center"/>
    </xf>
    <xf numFmtId="0" fontId="28" fillId="0" borderId="46" xfId="0" applyFont="1" applyFill="1" applyBorder="1" applyAlignment="1">
      <alignment horizontal="center"/>
    </xf>
    <xf numFmtId="0" fontId="28" fillId="0" borderId="47" xfId="0" applyFont="1" applyFill="1" applyBorder="1" applyAlignment="1">
      <alignment horizontal="center"/>
    </xf>
    <xf numFmtId="0" fontId="28" fillId="0" borderId="45" xfId="0" applyFont="1" applyFill="1" applyBorder="1" applyAlignment="1">
      <alignment horizontal="center" wrapText="1"/>
    </xf>
    <xf numFmtId="0" fontId="28" fillId="0" borderId="46" xfId="0" applyFont="1" applyFill="1" applyBorder="1" applyAlignment="1">
      <alignment horizontal="center" wrapText="1"/>
    </xf>
    <xf numFmtId="0" fontId="28" fillId="0" borderId="47" xfId="0" applyFont="1" applyFill="1" applyBorder="1" applyAlignment="1">
      <alignment horizontal="center" wrapText="1"/>
    </xf>
    <xf numFmtId="0" fontId="0" fillId="0" borderId="0" xfId="0" applyFill="1" applyAlignment="1">
      <alignment horizontal="left" wrapText="1"/>
    </xf>
    <xf numFmtId="0" fontId="0" fillId="0" borderId="48" xfId="0" applyFill="1" applyBorder="1" applyAlignment="1">
      <alignment horizontal="left" wrapText="1"/>
    </xf>
  </cellXfs>
  <cellStyles count="12">
    <cellStyle name="Comma" xfId="9" builtinId="3"/>
    <cellStyle name="Comma 2" xfId="2"/>
    <cellStyle name="Normal" xfId="0" builtinId="0"/>
    <cellStyle name="Normal 10" xfId="10"/>
    <cellStyle name="Normal 2" xfId="1"/>
    <cellStyle name="Normal 3" xfId="5"/>
    <cellStyle name="Normal 4" xfId="6"/>
    <cellStyle name="Normal 47" xfId="3"/>
    <cellStyle name="Normal 47 2" xfId="7"/>
    <cellStyle name="Normal 47 3" xfId="8"/>
    <cellStyle name="Normal_S&amp;L Demand Curve cases 11-11-10_inputs to NERA for rept_" xfId="4"/>
    <cellStyle name="Percent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nit%20Technical%20Parameters%20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ase/NYISO%20DCR%2032249/Received%20from%20Burns%20and%20McDonnell/2020-03-13%20-%20Updated%20Gross%20CONE%20results/NYISO%20DCR%20CONE%20Inputs%20(Rev%201_202003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gt;"/>
      <sheetName val="gen_params_CTs_reserves"/>
      <sheetName val="CTs_runtimes_scr"/>
      <sheetName val="nox_limits"/>
      <sheetName val="tech_params_aero"/>
      <sheetName val="tech_params_aero_noscr"/>
      <sheetName val="tech_params_f"/>
      <sheetName val="tech_params_f_noscr"/>
      <sheetName val="tech_params_j25"/>
      <sheetName val="tech_params_j25_noscr"/>
      <sheetName val="tech_params_j15"/>
      <sheetName val="tech_params_j15_noscr"/>
      <sheetName val="tech_params_ccj"/>
      <sheetName val="FILTERED INPUTS -&gt;"/>
      <sheetName val="Aero_NoSCR_Filtered"/>
      <sheetName val="Aero_SCR_Filtered"/>
      <sheetName val="F-Class_NoSCR_Filtered"/>
      <sheetName val="F-Class_SCR_Filtered"/>
      <sheetName val="J-Class25ppm_NoSCR_Filtered"/>
      <sheetName val="J-Class25ppm_SCR_Filtered"/>
      <sheetName val="J-Class15ppm_NoSCR_Filtered"/>
      <sheetName val="J-Class15ppm_SCR_Filtered"/>
      <sheetName val="J-Class_CC_Filtered"/>
      <sheetName val="B&amp;M DATA -&gt;"/>
      <sheetName val="Raw_Aeroderivative"/>
      <sheetName val="Raw_F-Class"/>
      <sheetName val="Raw_J-Class25ppm"/>
      <sheetName val="Raw_J-Class15ppm"/>
      <sheetName val="Raw_J-Class_CC"/>
      <sheetName val="SCR_Limi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5">
          <cell r="G5" t="str">
            <v>Units</v>
          </cell>
          <cell r="H5" t="str">
            <v>K - Long Island</v>
          </cell>
          <cell r="I5" t="str">
            <v>J - NYC</v>
          </cell>
          <cell r="J5" t="str">
            <v>G - LHV (Dutchess)</v>
          </cell>
          <cell r="K5" t="str">
            <v>G - LHV (Rockland)</v>
          </cell>
          <cell r="L5" t="str">
            <v>F - Capital</v>
          </cell>
          <cell r="M5" t="str">
            <v>C - Central</v>
          </cell>
        </row>
        <row r="8">
          <cell r="G8" t="str">
            <v>MW</v>
          </cell>
          <cell r="H8">
            <v>166.1</v>
          </cell>
          <cell r="I8">
            <v>166.4</v>
          </cell>
          <cell r="J8">
            <v>165.9</v>
          </cell>
          <cell r="K8">
            <v>165.9</v>
          </cell>
          <cell r="L8">
            <v>166.3</v>
          </cell>
          <cell r="M8">
            <v>166.3</v>
          </cell>
        </row>
        <row r="9">
          <cell r="G9" t="str">
            <v>MW</v>
          </cell>
          <cell r="H9">
            <v>188.2</v>
          </cell>
          <cell r="I9">
            <v>188.2</v>
          </cell>
          <cell r="J9">
            <v>188.2</v>
          </cell>
          <cell r="K9">
            <v>188.2</v>
          </cell>
          <cell r="L9">
            <v>188.2</v>
          </cell>
          <cell r="M9">
            <v>188.2</v>
          </cell>
        </row>
        <row r="12">
          <cell r="G12" t="str">
            <v>Btu/kWh</v>
          </cell>
          <cell r="H12">
            <v>9690</v>
          </cell>
          <cell r="I12">
            <v>9690</v>
          </cell>
          <cell r="J12">
            <v>9700</v>
          </cell>
          <cell r="K12">
            <v>9700</v>
          </cell>
          <cell r="L12">
            <v>9700</v>
          </cell>
          <cell r="M12">
            <v>9690</v>
          </cell>
        </row>
        <row r="13">
          <cell r="G13" t="str">
            <v>Btu/kWh</v>
          </cell>
          <cell r="H13">
            <v>9440</v>
          </cell>
          <cell r="I13">
            <v>9450</v>
          </cell>
          <cell r="J13">
            <v>9430</v>
          </cell>
          <cell r="K13">
            <v>9440</v>
          </cell>
          <cell r="L13">
            <v>9430</v>
          </cell>
          <cell r="M13">
            <v>9430</v>
          </cell>
        </row>
        <row r="16">
          <cell r="G16" t="str">
            <v>lb/hr</v>
          </cell>
          <cell r="H16">
            <v>166.8</v>
          </cell>
          <cell r="I16">
            <v>166.8</v>
          </cell>
          <cell r="J16">
            <v>166.8</v>
          </cell>
          <cell r="K16">
            <v>166.8</v>
          </cell>
          <cell r="L16">
            <v>166.8</v>
          </cell>
          <cell r="M16">
            <v>166.8</v>
          </cell>
        </row>
        <row r="17">
          <cell r="G17" t="str">
            <v>lb/hr</v>
          </cell>
          <cell r="H17">
            <v>3.5</v>
          </cell>
          <cell r="I17">
            <v>3.5</v>
          </cell>
          <cell r="J17">
            <v>3.5</v>
          </cell>
          <cell r="K17">
            <v>3.5</v>
          </cell>
          <cell r="L17">
            <v>3.5</v>
          </cell>
          <cell r="M17">
            <v>3.5</v>
          </cell>
        </row>
        <row r="18">
          <cell r="G18" t="str">
            <v>lb/hr</v>
          </cell>
          <cell r="H18">
            <v>208800</v>
          </cell>
          <cell r="I18">
            <v>208800</v>
          </cell>
          <cell r="J18">
            <v>208800</v>
          </cell>
          <cell r="K18">
            <v>208800</v>
          </cell>
          <cell r="L18">
            <v>208800</v>
          </cell>
          <cell r="M18">
            <v>208800</v>
          </cell>
        </row>
        <row r="20">
          <cell r="G20" t="str">
            <v>lb/hr</v>
          </cell>
          <cell r="H20">
            <v>162.49659442724459</v>
          </cell>
          <cell r="I20">
            <v>162.6687306501548</v>
          </cell>
          <cell r="J20">
            <v>162.15711340206187</v>
          </cell>
          <cell r="K20">
            <v>162.32907216494846</v>
          </cell>
          <cell r="L20">
            <v>162.15711340206187</v>
          </cell>
          <cell r="M20">
            <v>162.32445820433438</v>
          </cell>
        </row>
        <row r="21">
          <cell r="G21" t="str">
            <v>lb/hr</v>
          </cell>
          <cell r="H21">
            <v>3.4097007223942208</v>
          </cell>
          <cell r="I21">
            <v>3.4133126934984519</v>
          </cell>
          <cell r="J21">
            <v>3.4025773195876288</v>
          </cell>
          <cell r="K21">
            <v>3.4061855670103092</v>
          </cell>
          <cell r="L21">
            <v>3.4025773195876288</v>
          </cell>
          <cell r="M21">
            <v>3.4060887512899898</v>
          </cell>
        </row>
        <row r="22">
          <cell r="G22" t="str">
            <v>lb/hr</v>
          </cell>
          <cell r="H22">
            <v>203413.00309597523</v>
          </cell>
          <cell r="I22">
            <v>203628.48297213623</v>
          </cell>
          <cell r="J22">
            <v>202988.04123711342</v>
          </cell>
          <cell r="K22">
            <v>203203.29896907217</v>
          </cell>
          <cell r="L22">
            <v>202988.04123711342</v>
          </cell>
          <cell r="M22">
            <v>203197.52321981423</v>
          </cell>
        </row>
        <row r="24">
          <cell r="G24" t="str">
            <v>lb/hr</v>
          </cell>
          <cell r="H24">
            <v>278</v>
          </cell>
          <cell r="I24">
            <v>278</v>
          </cell>
          <cell r="J24">
            <v>278</v>
          </cell>
          <cell r="K24">
            <v>278</v>
          </cell>
          <cell r="L24">
            <v>278</v>
          </cell>
          <cell r="M24">
            <v>278</v>
          </cell>
        </row>
        <row r="25">
          <cell r="G25" t="str">
            <v>lb/hr</v>
          </cell>
          <cell r="H25">
            <v>2.6</v>
          </cell>
          <cell r="I25">
            <v>2.6</v>
          </cell>
          <cell r="J25">
            <v>2.6</v>
          </cell>
          <cell r="K25">
            <v>2.6</v>
          </cell>
          <cell r="L25">
            <v>2.6</v>
          </cell>
          <cell r="M25">
            <v>2.6</v>
          </cell>
        </row>
        <row r="26">
          <cell r="G26" t="str">
            <v>lb/hr</v>
          </cell>
          <cell r="H26">
            <v>278400</v>
          </cell>
          <cell r="I26">
            <v>278400</v>
          </cell>
          <cell r="J26">
            <v>278400</v>
          </cell>
          <cell r="K26">
            <v>278400</v>
          </cell>
          <cell r="L26">
            <v>278400</v>
          </cell>
          <cell r="M26">
            <v>278400</v>
          </cell>
        </row>
        <row r="28">
          <cell r="G28" t="str">
            <v>lb/hr</v>
          </cell>
          <cell r="H28">
            <v>270.82765737874098</v>
          </cell>
          <cell r="I28">
            <v>271.11455108359132</v>
          </cell>
          <cell r="J28">
            <v>270.2618556701031</v>
          </cell>
          <cell r="K28">
            <v>270.54845360824743</v>
          </cell>
          <cell r="L28">
            <v>270.2618556701031</v>
          </cell>
          <cell r="M28">
            <v>270.54076367389058</v>
          </cell>
        </row>
        <row r="29">
          <cell r="G29" t="str">
            <v>lb/hr</v>
          </cell>
          <cell r="H29">
            <v>2.5329205366357068</v>
          </cell>
          <cell r="I29">
            <v>2.5356037151702786</v>
          </cell>
          <cell r="J29">
            <v>2.5276288659793815</v>
          </cell>
          <cell r="K29">
            <v>2.5303092783505154</v>
          </cell>
          <cell r="L29">
            <v>2.5276288659793815</v>
          </cell>
          <cell r="M29">
            <v>2.530237358101135</v>
          </cell>
        </row>
        <row r="30">
          <cell r="G30" t="str">
            <v>lb/hr</v>
          </cell>
          <cell r="H30">
            <v>271217.33746130031</v>
          </cell>
          <cell r="I30">
            <v>271504.64396284829</v>
          </cell>
          <cell r="J30">
            <v>270650.72164948453</v>
          </cell>
          <cell r="K30">
            <v>270937.73195876286</v>
          </cell>
          <cell r="L30">
            <v>270650.72164948453</v>
          </cell>
          <cell r="M30">
            <v>270930.03095975233</v>
          </cell>
        </row>
        <row r="33">
          <cell r="G33" t="str">
            <v>MMBtu/Start</v>
          </cell>
          <cell r="H33">
            <v>100</v>
          </cell>
          <cell r="I33">
            <v>100</v>
          </cell>
          <cell r="J33">
            <v>100</v>
          </cell>
          <cell r="K33">
            <v>100</v>
          </cell>
          <cell r="L33">
            <v>100</v>
          </cell>
          <cell r="M33">
            <v>100</v>
          </cell>
        </row>
        <row r="34">
          <cell r="G34" t="str">
            <v>%</v>
          </cell>
          <cell r="H34">
            <v>0.1003</v>
          </cell>
          <cell r="I34">
            <v>0.1003</v>
          </cell>
          <cell r="J34">
            <v>0.1003</v>
          </cell>
          <cell r="K34">
            <v>0.1003</v>
          </cell>
          <cell r="L34">
            <v>0.1003</v>
          </cell>
          <cell r="M34">
            <v>0.1003</v>
          </cell>
        </row>
        <row r="36">
          <cell r="G36" t="str">
            <v>$/MWh</v>
          </cell>
          <cell r="H36">
            <v>8.89</v>
          </cell>
          <cell r="I36">
            <v>9.34</v>
          </cell>
          <cell r="J36">
            <v>9.02</v>
          </cell>
          <cell r="K36">
            <v>9.02</v>
          </cell>
          <cell r="L36">
            <v>9.120000000000001</v>
          </cell>
          <cell r="M36">
            <v>9.25</v>
          </cell>
        </row>
        <row r="37">
          <cell r="G37" t="str">
            <v>$/MWh</v>
          </cell>
          <cell r="H37">
            <v>8.76</v>
          </cell>
          <cell r="I37">
            <v>9.1800000000000015</v>
          </cell>
          <cell r="J37">
            <v>8.9</v>
          </cell>
          <cell r="K37">
            <v>8.9</v>
          </cell>
          <cell r="L37">
            <v>9</v>
          </cell>
          <cell r="M37">
            <v>9.1999999999999993</v>
          </cell>
        </row>
        <row r="38">
          <cell r="G38" t="str">
            <v>$/hr</v>
          </cell>
          <cell r="H38">
            <v>570</v>
          </cell>
          <cell r="I38">
            <v>570</v>
          </cell>
          <cell r="J38">
            <v>570</v>
          </cell>
          <cell r="K38">
            <v>570</v>
          </cell>
          <cell r="L38">
            <v>570</v>
          </cell>
          <cell r="M38">
            <v>570</v>
          </cell>
        </row>
        <row r="39">
          <cell r="G39" t="str">
            <v>$/Start</v>
          </cell>
          <cell r="H39" t="str">
            <v>N/A</v>
          </cell>
          <cell r="I39" t="str">
            <v>N/A</v>
          </cell>
          <cell r="J39" t="str">
            <v>N/A</v>
          </cell>
          <cell r="K39" t="str">
            <v>N/A</v>
          </cell>
          <cell r="L39" t="str">
            <v>N/A</v>
          </cell>
          <cell r="M39" t="str">
            <v>N/A</v>
          </cell>
        </row>
      </sheetData>
      <sheetData sheetId="15">
        <row r="5">
          <cell r="G5" t="str">
            <v>K - Long Island</v>
          </cell>
          <cell r="H5" t="str">
            <v>J - NYC</v>
          </cell>
          <cell r="I5" t="str">
            <v>G - LHV (Dutchess)</v>
          </cell>
          <cell r="J5" t="str">
            <v>G - LHV (Rockland)</v>
          </cell>
          <cell r="K5" t="str">
            <v>F - Capital</v>
          </cell>
          <cell r="L5" t="str">
            <v>C - Central</v>
          </cell>
        </row>
        <row r="8">
          <cell r="G8">
            <v>166.1</v>
          </cell>
          <cell r="H8">
            <v>166.4</v>
          </cell>
          <cell r="I8">
            <v>165.9</v>
          </cell>
          <cell r="J8">
            <v>165.9</v>
          </cell>
          <cell r="K8">
            <v>166.3</v>
          </cell>
          <cell r="L8">
            <v>166.3</v>
          </cell>
        </row>
        <row r="9">
          <cell r="G9">
            <v>188.2</v>
          </cell>
          <cell r="H9">
            <v>188.2</v>
          </cell>
          <cell r="I9">
            <v>188.2</v>
          </cell>
          <cell r="J9">
            <v>188.2</v>
          </cell>
          <cell r="K9">
            <v>188.2</v>
          </cell>
          <cell r="L9">
            <v>188.2</v>
          </cell>
        </row>
        <row r="12">
          <cell r="G12">
            <v>9690</v>
          </cell>
          <cell r="H12">
            <v>9690</v>
          </cell>
          <cell r="I12">
            <v>9700</v>
          </cell>
          <cell r="J12">
            <v>9700</v>
          </cell>
          <cell r="K12">
            <v>9700</v>
          </cell>
          <cell r="L12">
            <v>9690</v>
          </cell>
        </row>
        <row r="13">
          <cell r="G13">
            <v>9440</v>
          </cell>
          <cell r="H13">
            <v>9450</v>
          </cell>
          <cell r="I13">
            <v>9430</v>
          </cell>
          <cell r="J13">
            <v>9440</v>
          </cell>
          <cell r="K13">
            <v>9430</v>
          </cell>
          <cell r="L13">
            <v>9430</v>
          </cell>
        </row>
        <row r="16">
          <cell r="G16">
            <v>13.3</v>
          </cell>
          <cell r="H16">
            <v>13.3</v>
          </cell>
          <cell r="I16">
            <v>13.3</v>
          </cell>
          <cell r="J16">
            <v>13.3</v>
          </cell>
          <cell r="K16">
            <v>13.3</v>
          </cell>
          <cell r="L16">
            <v>13.3</v>
          </cell>
        </row>
        <row r="17">
          <cell r="G17">
            <v>3.5</v>
          </cell>
          <cell r="H17">
            <v>3.5</v>
          </cell>
          <cell r="I17">
            <v>3.5</v>
          </cell>
          <cell r="J17">
            <v>3.5</v>
          </cell>
          <cell r="K17">
            <v>3.5</v>
          </cell>
          <cell r="L17">
            <v>3.5</v>
          </cell>
        </row>
        <row r="18">
          <cell r="G18">
            <v>208800</v>
          </cell>
          <cell r="H18">
            <v>208800</v>
          </cell>
          <cell r="I18">
            <v>208800</v>
          </cell>
          <cell r="J18">
            <v>208800</v>
          </cell>
          <cell r="K18">
            <v>208800</v>
          </cell>
          <cell r="L18">
            <v>208800</v>
          </cell>
        </row>
        <row r="20">
          <cell r="G20">
            <v>12.956862745098039</v>
          </cell>
          <cell r="H20">
            <v>12.970588235294118</v>
          </cell>
          <cell r="I20">
            <v>12.92979381443299</v>
          </cell>
          <cell r="J20">
            <v>12.943505154639174</v>
          </cell>
          <cell r="K20">
            <v>12.92979381443299</v>
          </cell>
          <cell r="L20">
            <v>12.943137254901961</v>
          </cell>
        </row>
        <row r="21">
          <cell r="G21">
            <v>3.4097007223942208</v>
          </cell>
          <cell r="H21">
            <v>3.4133126934984519</v>
          </cell>
          <cell r="I21">
            <v>3.4025773195876288</v>
          </cell>
          <cell r="J21">
            <v>3.4061855670103092</v>
          </cell>
          <cell r="K21">
            <v>3.4025773195876288</v>
          </cell>
          <cell r="L21">
            <v>3.4060887512899898</v>
          </cell>
        </row>
        <row r="22">
          <cell r="G22">
            <v>203413.00309597523</v>
          </cell>
          <cell r="H22">
            <v>203628.48297213623</v>
          </cell>
          <cell r="I22">
            <v>202988.04123711342</v>
          </cell>
          <cell r="J22">
            <v>203203.29896907217</v>
          </cell>
          <cell r="K22">
            <v>202988.04123711342</v>
          </cell>
          <cell r="L22">
            <v>203197.52321981423</v>
          </cell>
        </row>
        <row r="24">
          <cell r="G24">
            <v>41.7</v>
          </cell>
          <cell r="H24">
            <v>41.7</v>
          </cell>
          <cell r="I24">
            <v>41.7</v>
          </cell>
          <cell r="J24">
            <v>41.7</v>
          </cell>
          <cell r="K24">
            <v>41.7</v>
          </cell>
          <cell r="L24">
            <v>41.7</v>
          </cell>
        </row>
        <row r="25">
          <cell r="G25">
            <v>2.6</v>
          </cell>
          <cell r="H25">
            <v>2.6</v>
          </cell>
          <cell r="I25">
            <v>2.6</v>
          </cell>
          <cell r="J25">
            <v>2.6</v>
          </cell>
          <cell r="K25">
            <v>2.6</v>
          </cell>
          <cell r="L25">
            <v>2.6</v>
          </cell>
        </row>
        <row r="26">
          <cell r="G26">
            <v>278400</v>
          </cell>
          <cell r="H26">
            <v>278400</v>
          </cell>
          <cell r="I26">
            <v>278400</v>
          </cell>
          <cell r="J26">
            <v>278400</v>
          </cell>
          <cell r="K26">
            <v>278400</v>
          </cell>
          <cell r="L26">
            <v>278400</v>
          </cell>
        </row>
        <row r="28">
          <cell r="G28">
            <v>40.624148606811147</v>
          </cell>
          <cell r="H28">
            <v>40.6671826625387</v>
          </cell>
          <cell r="I28">
            <v>40.539278350515467</v>
          </cell>
          <cell r="J28">
            <v>40.582268041237114</v>
          </cell>
          <cell r="K28">
            <v>40.539278350515467</v>
          </cell>
          <cell r="L28">
            <v>40.581114551083594</v>
          </cell>
        </row>
        <row r="29">
          <cell r="G29">
            <v>2.5329205366357068</v>
          </cell>
          <cell r="H29">
            <v>2.5356037151702786</v>
          </cell>
          <cell r="I29">
            <v>2.5276288659793815</v>
          </cell>
          <cell r="J29">
            <v>2.5303092783505154</v>
          </cell>
          <cell r="K29">
            <v>2.5276288659793815</v>
          </cell>
          <cell r="L29">
            <v>2.530237358101135</v>
          </cell>
        </row>
        <row r="30">
          <cell r="G30">
            <v>271217.33746130031</v>
          </cell>
          <cell r="H30">
            <v>271504.64396284829</v>
          </cell>
          <cell r="I30">
            <v>270650.72164948453</v>
          </cell>
          <cell r="J30">
            <v>270937.73195876286</v>
          </cell>
          <cell r="K30">
            <v>270650.72164948453</v>
          </cell>
          <cell r="L30">
            <v>270930.03095975233</v>
          </cell>
        </row>
        <row r="33">
          <cell r="G33">
            <v>100</v>
          </cell>
          <cell r="H33">
            <v>100</v>
          </cell>
          <cell r="I33">
            <v>100</v>
          </cell>
          <cell r="J33">
            <v>100</v>
          </cell>
          <cell r="K33">
            <v>100</v>
          </cell>
          <cell r="L33">
            <v>100</v>
          </cell>
        </row>
        <row r="34">
          <cell r="G34">
            <v>0.1003</v>
          </cell>
          <cell r="H34">
            <v>0.1003</v>
          </cell>
          <cell r="I34">
            <v>0.1003</v>
          </cell>
          <cell r="J34">
            <v>0.1003</v>
          </cell>
          <cell r="K34">
            <v>0.1003</v>
          </cell>
          <cell r="L34">
            <v>0.1003</v>
          </cell>
        </row>
        <row r="36">
          <cell r="G36">
            <v>9.7200000000000006</v>
          </cell>
          <cell r="H36">
            <v>10.17</v>
          </cell>
          <cell r="I36">
            <v>9.85</v>
          </cell>
          <cell r="J36">
            <v>9.85</v>
          </cell>
          <cell r="K36">
            <v>9.9500000000000011</v>
          </cell>
          <cell r="L36">
            <v>10.07</v>
          </cell>
        </row>
        <row r="37">
          <cell r="G37">
            <v>9.7899999999999991</v>
          </cell>
          <cell r="H37">
            <v>10.210000000000001</v>
          </cell>
          <cell r="I37">
            <v>9.9</v>
          </cell>
          <cell r="J37">
            <v>9.9</v>
          </cell>
          <cell r="K37">
            <v>10</v>
          </cell>
          <cell r="L37">
            <v>10.199999999999999</v>
          </cell>
        </row>
        <row r="38">
          <cell r="G38">
            <v>570</v>
          </cell>
          <cell r="H38">
            <v>570</v>
          </cell>
          <cell r="I38">
            <v>570</v>
          </cell>
          <cell r="J38">
            <v>570</v>
          </cell>
          <cell r="K38">
            <v>570</v>
          </cell>
          <cell r="L38">
            <v>570</v>
          </cell>
        </row>
        <row r="39">
          <cell r="G39" t="str">
            <v>N/A</v>
          </cell>
          <cell r="H39" t="str">
            <v>N/A</v>
          </cell>
          <cell r="I39" t="str">
            <v>N/A</v>
          </cell>
          <cell r="J39" t="str">
            <v>N/A</v>
          </cell>
          <cell r="K39" t="str">
            <v>N/A</v>
          </cell>
          <cell r="L39" t="str">
            <v>N/A</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x A65"/>
      <sheetName val="1x 7F.05"/>
      <sheetName val="1x HA.02 25ppm"/>
      <sheetName val="1x HA.02 15ppm"/>
      <sheetName val="CCGT 1x1 HA.02"/>
      <sheetName val="BESS-4hr"/>
      <sheetName val="BESS-6hr"/>
      <sheetName val="BESS-8hr"/>
    </sheetNames>
    <sheetDataSet>
      <sheetData sheetId="0"/>
      <sheetData sheetId="1"/>
      <sheetData sheetId="2">
        <row r="6">
          <cell r="B6" t="str">
            <v>PROJECT TYPE</v>
          </cell>
          <cell r="C6" t="str">
            <v>ZONE C</v>
          </cell>
          <cell r="D6" t="str">
            <v>ZONE F</v>
          </cell>
          <cell r="E6" t="str">
            <v>ZONE G - Dutchess</v>
          </cell>
          <cell r="F6" t="str">
            <v>ZONE G - Rockland</v>
          </cell>
          <cell r="G6" t="str">
            <v>ZONE J</v>
          </cell>
          <cell r="H6" t="str">
            <v>ZONE K</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37</v>
      </c>
      <c r="B1" s="47" t="s">
        <v>55</v>
      </c>
      <c r="C1" s="49" t="s">
        <v>327</v>
      </c>
      <c r="D1" s="49" t="s">
        <v>328</v>
      </c>
      <c r="E1" s="49" t="s">
        <v>329</v>
      </c>
      <c r="F1" s="49" t="s">
        <v>330</v>
      </c>
      <c r="G1" s="49" t="s">
        <v>425</v>
      </c>
      <c r="H1" s="49" t="s">
        <v>426</v>
      </c>
      <c r="I1" s="49" t="s">
        <v>331</v>
      </c>
      <c r="J1" s="48" t="s">
        <v>435</v>
      </c>
      <c r="K1" s="49" t="s">
        <v>332</v>
      </c>
      <c r="L1" s="49" t="s">
        <v>333</v>
      </c>
      <c r="M1" s="49" t="s">
        <v>334</v>
      </c>
      <c r="N1" s="49" t="s">
        <v>335</v>
      </c>
      <c r="O1" s="49" t="s">
        <v>336</v>
      </c>
      <c r="P1" s="49" t="s">
        <v>337</v>
      </c>
      <c r="Q1" s="49" t="s">
        <v>338</v>
      </c>
      <c r="R1" s="49" t="s">
        <v>339</v>
      </c>
      <c r="S1" s="49" t="s">
        <v>340</v>
      </c>
      <c r="T1" s="49" t="s">
        <v>341</v>
      </c>
      <c r="U1" s="49" t="s">
        <v>342</v>
      </c>
      <c r="V1" s="49" t="s">
        <v>343</v>
      </c>
      <c r="W1" s="49" t="s">
        <v>344</v>
      </c>
    </row>
    <row r="2" spans="1:23" x14ac:dyDescent="0.2">
      <c r="A2" s="10" t="s">
        <v>34</v>
      </c>
      <c r="B2" s="46" t="s">
        <v>3</v>
      </c>
      <c r="C2" s="51">
        <f ca="1">HLOOKUP($B2, 'J-Class25ppm_NoSCR_Filtered'!$G$5:$M$38, 8, FALSE)</f>
        <v>9390</v>
      </c>
      <c r="D2" s="51">
        <f ca="1">HLOOKUP($B2, 'J-Class25ppm_NoSCR_Filtered'!$G$5:$M$38, 9, FALSE)</f>
        <v>9290</v>
      </c>
      <c r="E2" s="272">
        <f ca="1">HLOOKUP($B2, 'J-Class25ppm_NoSCR_Filtered'!$G$5:$M$38, 32, FALSE)</f>
        <v>0.9</v>
      </c>
      <c r="F2" s="272">
        <f ca="1">HLOOKUP($B2, 'J-Class25ppm_NoSCR_Filtered'!$G$5:$M$38, 33, FALSE)</f>
        <v>8</v>
      </c>
      <c r="G2" s="272">
        <f ca="1">HLOOKUP($B2, 'J-Class25ppm_NoSCR_Filtered'!$G$5:$M$38, 4, FALSE)</f>
        <v>357.2</v>
      </c>
      <c r="H2" s="272">
        <f ca="1">HLOOKUP($B2, 'J-Class25ppm_NoSCR_Filtered'!$G$5:$M$38, 5, FALSE)</f>
        <v>372.2</v>
      </c>
      <c r="I2" s="272">
        <f>HLOOKUP($B2, 'J-Class25ppm_NoSCR_Filtered'!$G$5:$M$38, 29, FALSE)</f>
        <v>490</v>
      </c>
      <c r="J2" s="272">
        <f ca="1">HLOOKUP($B2, 'J-Class25ppm_NoSCR_Filtered'!$G$5:$M$38, 34, FALSE)</f>
        <v>16200</v>
      </c>
      <c r="K2" s="272">
        <f ca="1">HLOOKUP($B2, 'J-Class25ppm_NoSCR_Filtered'!$G$5:$M$38, 12, FALSE)</f>
        <v>330.5</v>
      </c>
      <c r="L2" s="272">
        <f ca="1">HLOOKUP($B2, 'J-Class25ppm_NoSCR_Filtered'!$G$5:$M$38, 13, FALSE)</f>
        <v>6.8</v>
      </c>
      <c r="M2" s="272">
        <f ca="1">HLOOKUP($B2, 'J-Class25ppm_NoSCR_Filtered'!$G$5:$M$38, 14, FALSE)</f>
        <v>409200</v>
      </c>
      <c r="N2" s="272">
        <f ca="1">HLOOKUP($B2, 'J-Class25ppm_NoSCR_Filtered'!$G$5:$M$38, 16, FALSE)</f>
        <v>326.98029818956337</v>
      </c>
      <c r="O2" s="272">
        <f ca="1">HLOOKUP($B2, 'J-Class25ppm_NoSCR_Filtered'!$G$5:$M$38, 17, FALSE)</f>
        <v>6.7275825346112885</v>
      </c>
      <c r="P2" s="272">
        <f ca="1">HLOOKUP($B2, 'J-Class25ppm_NoSCR_Filtered'!$G$5:$M$38, 18, FALSE)</f>
        <v>404842.17252396164</v>
      </c>
      <c r="Q2" s="272">
        <f ca="1">HLOOKUP($B2, 'J-Class25ppm_NoSCR_Filtered'!$G$5:$M$38, 20, FALSE)</f>
        <v>640</v>
      </c>
      <c r="R2" s="272">
        <f ca="1">HLOOKUP($B2, 'J-Class25ppm_NoSCR_Filtered'!$G$5:$M$38, 21, FALSE)</f>
        <v>5.2</v>
      </c>
      <c r="S2" s="272">
        <f ca="1">HLOOKUP($B2, 'J-Class25ppm_NoSCR_Filtered'!$G$5:$M$38, 22, FALSE)</f>
        <v>545600</v>
      </c>
      <c r="T2" s="272">
        <f ca="1">HLOOKUP($B2, 'J-Class25ppm_NoSCR_Filtered'!$G$5:$M$38, 24, FALSE)</f>
        <v>633.18423855165065</v>
      </c>
      <c r="U2" s="272">
        <f ca="1">HLOOKUP($B2, 'J-Class25ppm_NoSCR_Filtered'!$G$5:$M$38, 25, FALSE)</f>
        <v>5.1446219382321621</v>
      </c>
      <c r="V2" s="272">
        <f ca="1">HLOOKUP($B2, 'J-Class25ppm_NoSCR_Filtered'!$G$5:$M$38, 26, FALSE)</f>
        <v>539789.56336528226</v>
      </c>
      <c r="W2" s="272">
        <f ca="1">1-HLOOKUP($B2, 'J-Class25ppm_NoSCR_Filtered'!$G$5:$M$38, 30, FALSE)</f>
        <v>0.95660000000000001</v>
      </c>
    </row>
    <row r="3" spans="1:23" x14ac:dyDescent="0.2">
      <c r="A3" s="10" t="s">
        <v>33</v>
      </c>
      <c r="B3" s="46" t="s">
        <v>30</v>
      </c>
      <c r="C3" s="51">
        <f ca="1">HLOOKUP($B3, 'J-Class25ppm_NoSCR_Filtered'!$G$5:$M$38, 8, FALSE)</f>
        <v>9380</v>
      </c>
      <c r="D3" s="51">
        <f ca="1">HLOOKUP($B3, 'J-Class25ppm_NoSCR_Filtered'!$G$5:$M$38, 9, FALSE)</f>
        <v>9300</v>
      </c>
      <c r="E3" s="272">
        <f ca="1">HLOOKUP($B3, 'J-Class25ppm_NoSCR_Filtered'!$G$5:$M$38, 32, FALSE)</f>
        <v>0.90999999999999992</v>
      </c>
      <c r="F3" s="272">
        <f ca="1">HLOOKUP($B3, 'J-Class25ppm_NoSCR_Filtered'!$G$5:$M$38, 33, FALSE)</f>
        <v>10.74</v>
      </c>
      <c r="G3" s="272">
        <f ca="1">HLOOKUP($B3, 'J-Class25ppm_NoSCR_Filtered'!$G$5:$M$38, 4, FALSE)</f>
        <v>357.4</v>
      </c>
      <c r="H3" s="272">
        <f ca="1">HLOOKUP($B3, 'J-Class25ppm_NoSCR_Filtered'!$G$5:$M$38, 5, FALSE)</f>
        <v>371.6</v>
      </c>
      <c r="I3" s="272">
        <f>HLOOKUP($B3, 'J-Class25ppm_NoSCR_Filtered'!$G$5:$M$38, 29, FALSE)</f>
        <v>490</v>
      </c>
      <c r="J3" s="272">
        <f ca="1">HLOOKUP($B3, 'J-Class25ppm_NoSCR_Filtered'!$G$5:$M$38, 34, FALSE)</f>
        <v>16200</v>
      </c>
      <c r="K3" s="272">
        <f ca="1">HLOOKUP($B3, 'J-Class25ppm_NoSCR_Filtered'!$G$5:$M$38, 12, FALSE)</f>
        <v>330.5</v>
      </c>
      <c r="L3" s="272">
        <f ca="1">HLOOKUP($B3, 'J-Class25ppm_NoSCR_Filtered'!$G$5:$M$38, 13, FALSE)</f>
        <v>6.8</v>
      </c>
      <c r="M3" s="272">
        <f ca="1">HLOOKUP($B3, 'J-Class25ppm_NoSCR_Filtered'!$G$5:$M$38, 14, FALSE)</f>
        <v>409200</v>
      </c>
      <c r="N3" s="272">
        <f ca="1">HLOOKUP($B3, 'J-Class25ppm_NoSCR_Filtered'!$G$5:$M$38, 16, FALSE)</f>
        <v>327.68123667377398</v>
      </c>
      <c r="O3" s="272">
        <f ca="1">HLOOKUP($B3, 'J-Class25ppm_NoSCR_Filtered'!$G$5:$M$38, 17, FALSE)</f>
        <v>6.7420042643923237</v>
      </c>
      <c r="P3" s="272">
        <f ca="1">HLOOKUP($B3, 'J-Class25ppm_NoSCR_Filtered'!$G$5:$M$38, 18, FALSE)</f>
        <v>405710.0213219616</v>
      </c>
      <c r="Q3" s="272">
        <f ca="1">HLOOKUP($B3, 'J-Class25ppm_NoSCR_Filtered'!$G$5:$M$38, 20, FALSE)</f>
        <v>640</v>
      </c>
      <c r="R3" s="272">
        <f ca="1">HLOOKUP($B3, 'J-Class25ppm_NoSCR_Filtered'!$G$5:$M$38, 21, FALSE)</f>
        <v>5.2</v>
      </c>
      <c r="S3" s="272">
        <f ca="1">HLOOKUP($B3, 'J-Class25ppm_NoSCR_Filtered'!$G$5:$M$38, 22, FALSE)</f>
        <v>545600</v>
      </c>
      <c r="T3" s="272">
        <f ca="1">HLOOKUP($B3, 'J-Class25ppm_NoSCR_Filtered'!$G$5:$M$38, 24, FALSE)</f>
        <v>634.54157782515995</v>
      </c>
      <c r="U3" s="272">
        <f ca="1">HLOOKUP($B3, 'J-Class25ppm_NoSCR_Filtered'!$G$5:$M$38, 25, FALSE)</f>
        <v>5.1556503198294239</v>
      </c>
      <c r="V3" s="272">
        <f ca="1">HLOOKUP($B3, 'J-Class25ppm_NoSCR_Filtered'!$G$5:$M$38, 26, FALSE)</f>
        <v>540946.69509594887</v>
      </c>
      <c r="W3" s="272">
        <f ca="1">1-HLOOKUP($B3, 'J-Class25ppm_NoSCR_Filtered'!$G$5:$M$38, 30, FALSE)</f>
        <v>0.95660000000000001</v>
      </c>
    </row>
    <row r="4" spans="1:23" x14ac:dyDescent="0.2">
      <c r="A4" s="10" t="s">
        <v>56</v>
      </c>
      <c r="B4" s="46" t="s">
        <v>22</v>
      </c>
      <c r="C4" s="51">
        <f ca="1">HLOOKUP($B4, 'J-Class25ppm_NoSCR_Filtered'!$G$5:$M$38, 8, FALSE)</f>
        <v>9390</v>
      </c>
      <c r="D4" s="51">
        <f ca="1">HLOOKUP($B4, 'J-Class25ppm_NoSCR_Filtered'!$G$5:$M$38, 9, FALSE)</f>
        <v>9280</v>
      </c>
      <c r="E4" s="272">
        <f ca="1">HLOOKUP($B4, 'J-Class25ppm_NoSCR_Filtered'!$G$5:$M$38, 32, FALSE)</f>
        <v>0.9</v>
      </c>
      <c r="F4" s="272">
        <f ca="1">HLOOKUP($B4, 'J-Class25ppm_NoSCR_Filtered'!$G$5:$M$38, 33, FALSE)</f>
        <v>8</v>
      </c>
      <c r="G4" s="272">
        <f ca="1">HLOOKUP($B4, 'J-Class25ppm_NoSCR_Filtered'!$G$5:$M$38, 4, FALSE)</f>
        <v>355.1</v>
      </c>
      <c r="H4" s="272">
        <f ca="1">HLOOKUP($B4, 'J-Class25ppm_NoSCR_Filtered'!$G$5:$M$38, 5, FALSE)</f>
        <v>370.8</v>
      </c>
      <c r="I4" s="272">
        <f>HLOOKUP($B4, 'J-Class25ppm_NoSCR_Filtered'!$G$5:$M$38, 29, FALSE)</f>
        <v>490</v>
      </c>
      <c r="J4" s="272">
        <f ca="1">HLOOKUP($B4, 'J-Class25ppm_NoSCR_Filtered'!$G$5:$M$38, 34, FALSE)</f>
        <v>16200</v>
      </c>
      <c r="K4" s="272">
        <f ca="1">HLOOKUP($B4, 'J-Class25ppm_NoSCR_Filtered'!$G$5:$M$38, 12, FALSE)</f>
        <v>330.5</v>
      </c>
      <c r="L4" s="272">
        <f ca="1">HLOOKUP($B4, 'J-Class25ppm_NoSCR_Filtered'!$G$5:$M$38, 13, FALSE)</f>
        <v>6.8</v>
      </c>
      <c r="M4" s="272">
        <f ca="1">HLOOKUP($B4, 'J-Class25ppm_NoSCR_Filtered'!$G$5:$M$38, 14, FALSE)</f>
        <v>406800</v>
      </c>
      <c r="N4" s="272">
        <f ca="1">HLOOKUP($B4, 'J-Class25ppm_NoSCR_Filtered'!$G$5:$M$38, 16, FALSE)</f>
        <v>326.6283280085197</v>
      </c>
      <c r="O4" s="272">
        <f ca="1">HLOOKUP($B4, 'J-Class25ppm_NoSCR_Filtered'!$G$5:$M$38, 17, FALSE)</f>
        <v>6.7203407880724173</v>
      </c>
      <c r="P4" s="272">
        <f ca="1">HLOOKUP($B4, 'J-Class25ppm_NoSCR_Filtered'!$G$5:$M$38, 18, FALSE)</f>
        <v>402034.50479233224</v>
      </c>
      <c r="Q4" s="272">
        <f ca="1">HLOOKUP($B4, 'J-Class25ppm_NoSCR_Filtered'!$G$5:$M$38, 20, FALSE)</f>
        <v>640</v>
      </c>
      <c r="R4" s="272">
        <f ca="1">HLOOKUP($B4, 'J-Class25ppm_NoSCR_Filtered'!$G$5:$M$38, 21, FALSE)</f>
        <v>5.2</v>
      </c>
      <c r="S4" s="272">
        <f ca="1">HLOOKUP($B4, 'J-Class25ppm_NoSCR_Filtered'!$G$5:$M$38, 22, FALSE)</f>
        <v>542400</v>
      </c>
      <c r="T4" s="272">
        <f ca="1">HLOOKUP($B4, 'J-Class25ppm_NoSCR_Filtered'!$G$5:$M$38, 24, FALSE)</f>
        <v>632.50266240681572</v>
      </c>
      <c r="U4" s="272">
        <f ca="1">HLOOKUP($B4, 'J-Class25ppm_NoSCR_Filtered'!$G$5:$M$38, 25, FALSE)</f>
        <v>5.1390841320553777</v>
      </c>
      <c r="V4" s="272">
        <f ca="1">HLOOKUP($B4, 'J-Class25ppm_NoSCR_Filtered'!$G$5:$M$38, 26, FALSE)</f>
        <v>536046.00638977636</v>
      </c>
      <c r="W4" s="272">
        <f ca="1">1-HLOOKUP($B4, 'J-Class25ppm_NoSCR_Filtered'!$G$5:$M$38, 30, FALSE)</f>
        <v>0.95660000000000001</v>
      </c>
    </row>
    <row r="5" spans="1:23" x14ac:dyDescent="0.2">
      <c r="A5" s="10" t="s">
        <v>38</v>
      </c>
      <c r="B5" s="46" t="s">
        <v>23</v>
      </c>
      <c r="C5" s="51">
        <f ca="1">HLOOKUP($B5, 'J-Class25ppm_NoSCR_Filtered'!$G$5:$M$38, 8, FALSE)</f>
        <v>9390</v>
      </c>
      <c r="D5" s="51">
        <f ca="1">HLOOKUP($B5, 'J-Class25ppm_NoSCR_Filtered'!$G$5:$M$38, 9, FALSE)</f>
        <v>9290</v>
      </c>
      <c r="E5" s="272">
        <f ca="1">HLOOKUP($B5, 'J-Class25ppm_NoSCR_Filtered'!$G$5:$M$38, 32, FALSE)</f>
        <v>0.9</v>
      </c>
      <c r="F5" s="272">
        <f ca="1">HLOOKUP($B5, 'J-Class25ppm_NoSCR_Filtered'!$G$5:$M$38, 33, FALSE)</f>
        <v>8</v>
      </c>
      <c r="G5" s="272">
        <f ca="1">HLOOKUP($B5, 'J-Class25ppm_NoSCR_Filtered'!$G$5:$M$38, 4, FALSE)</f>
        <v>355</v>
      </c>
      <c r="H5" s="272">
        <f ca="1">HLOOKUP($B5, 'J-Class25ppm_NoSCR_Filtered'!$G$5:$M$38, 5, FALSE)</f>
        <v>370.7</v>
      </c>
      <c r="I5" s="272">
        <f>HLOOKUP($B5, 'J-Class25ppm_NoSCR_Filtered'!$G$5:$M$38, 29, FALSE)</f>
        <v>490</v>
      </c>
      <c r="J5" s="272">
        <f ca="1">HLOOKUP($B5, 'J-Class25ppm_NoSCR_Filtered'!$G$5:$M$38, 34, FALSE)</f>
        <v>16200</v>
      </c>
      <c r="K5" s="272">
        <f ca="1">HLOOKUP($B5, 'J-Class25ppm_NoSCR_Filtered'!$G$5:$M$38, 12, FALSE)</f>
        <v>330.5</v>
      </c>
      <c r="L5" s="272">
        <f ca="1">HLOOKUP($B5, 'J-Class25ppm_NoSCR_Filtered'!$G$5:$M$38, 13, FALSE)</f>
        <v>6.8</v>
      </c>
      <c r="M5" s="272">
        <f ca="1">HLOOKUP($B5, 'J-Class25ppm_NoSCR_Filtered'!$G$5:$M$38, 14, FALSE)</f>
        <v>406800</v>
      </c>
      <c r="N5" s="272">
        <f ca="1">HLOOKUP($B5, 'J-Class25ppm_NoSCR_Filtered'!$G$5:$M$38, 16, FALSE)</f>
        <v>326.98029818956337</v>
      </c>
      <c r="O5" s="272">
        <f ca="1">HLOOKUP($B5, 'J-Class25ppm_NoSCR_Filtered'!$G$5:$M$38, 17, FALSE)</f>
        <v>6.7275825346112885</v>
      </c>
      <c r="P5" s="272">
        <f ca="1">HLOOKUP($B5, 'J-Class25ppm_NoSCR_Filtered'!$G$5:$M$38, 18, FALSE)</f>
        <v>402467.73162939295</v>
      </c>
      <c r="Q5" s="272">
        <f ca="1">HLOOKUP($B5, 'J-Class25ppm_NoSCR_Filtered'!$G$5:$M$38, 20, FALSE)</f>
        <v>640</v>
      </c>
      <c r="R5" s="272">
        <f ca="1">HLOOKUP($B5, 'J-Class25ppm_NoSCR_Filtered'!$G$5:$M$38, 21, FALSE)</f>
        <v>5.2</v>
      </c>
      <c r="S5" s="272">
        <f ca="1">HLOOKUP($B5, 'J-Class25ppm_NoSCR_Filtered'!$G$5:$M$38, 22, FALSE)</f>
        <v>542400</v>
      </c>
      <c r="T5" s="272">
        <f ca="1">HLOOKUP($B5, 'J-Class25ppm_NoSCR_Filtered'!$G$5:$M$38, 24, FALSE)</f>
        <v>633.18423855165065</v>
      </c>
      <c r="U5" s="272">
        <f ca="1">HLOOKUP($B5, 'J-Class25ppm_NoSCR_Filtered'!$G$5:$M$38, 25, FALSE)</f>
        <v>5.1446219382321621</v>
      </c>
      <c r="V5" s="272">
        <f ca="1">HLOOKUP($B5, 'J-Class25ppm_NoSCR_Filtered'!$G$5:$M$38, 26, FALSE)</f>
        <v>536623.64217252401</v>
      </c>
      <c r="W5" s="272">
        <f ca="1">1-HLOOKUP($B5, 'J-Class25ppm_NoSCR_Filtered'!$G$5:$M$38, 30, FALSE)</f>
        <v>0.95660000000000001</v>
      </c>
    </row>
    <row r="6" spans="1:23" x14ac:dyDescent="0.2">
      <c r="A6" s="10" t="s">
        <v>32</v>
      </c>
      <c r="B6" s="46" t="s">
        <v>4</v>
      </c>
      <c r="C6" s="51">
        <f ca="1">HLOOKUP($B6, 'J-Class25ppm_NoSCR_Filtered'!$G$5:$M$38, 8, FALSE)</f>
        <v>9380</v>
      </c>
      <c r="D6" s="51">
        <f ca="1">HLOOKUP($B6, 'J-Class25ppm_NoSCR_Filtered'!$G$5:$M$38, 9, FALSE)</f>
        <v>9270</v>
      </c>
      <c r="E6" s="272">
        <f ca="1">HLOOKUP($B6, 'J-Class25ppm_NoSCR_Filtered'!$G$5:$M$38, 32, FALSE)</f>
        <v>0.9</v>
      </c>
      <c r="F6" s="272">
        <f ca="1">HLOOKUP($B6, 'J-Class25ppm_NoSCR_Filtered'!$G$5:$M$38, 33, FALSE)</f>
        <v>8</v>
      </c>
      <c r="G6" s="272">
        <f ca="1">HLOOKUP($B6, 'J-Class25ppm_NoSCR_Filtered'!$G$5:$M$38, 4, FALSE)</f>
        <v>354.3</v>
      </c>
      <c r="H6" s="272">
        <f ca="1">HLOOKUP($B6, 'J-Class25ppm_NoSCR_Filtered'!$G$5:$M$38, 5, FALSE)</f>
        <v>369.9</v>
      </c>
      <c r="I6" s="272">
        <f>HLOOKUP($B6, 'J-Class25ppm_NoSCR_Filtered'!$G$5:$M$38, 29, FALSE)</f>
        <v>490</v>
      </c>
      <c r="J6" s="272">
        <f ca="1">HLOOKUP($B6, 'J-Class25ppm_NoSCR_Filtered'!$G$5:$M$38, 34, FALSE)</f>
        <v>16200</v>
      </c>
      <c r="K6" s="272">
        <f ca="1">HLOOKUP($B6, 'J-Class25ppm_NoSCR_Filtered'!$G$5:$M$38, 12, FALSE)</f>
        <v>330.5</v>
      </c>
      <c r="L6" s="272">
        <f ca="1">HLOOKUP($B6, 'J-Class25ppm_NoSCR_Filtered'!$G$5:$M$38, 13, FALSE)</f>
        <v>6.8</v>
      </c>
      <c r="M6" s="272">
        <f ca="1">HLOOKUP($B6, 'J-Class25ppm_NoSCR_Filtered'!$G$5:$M$38, 14, FALSE)</f>
        <v>405600</v>
      </c>
      <c r="N6" s="272">
        <f ca="1">HLOOKUP($B6, 'J-Class25ppm_NoSCR_Filtered'!$G$5:$M$38, 16, FALSE)</f>
        <v>326.62420042643924</v>
      </c>
      <c r="O6" s="272">
        <f ca="1">HLOOKUP($B6, 'J-Class25ppm_NoSCR_Filtered'!$G$5:$M$38, 17, FALSE)</f>
        <v>6.720255863539446</v>
      </c>
      <c r="P6" s="272">
        <f ca="1">HLOOKUP($B6, 'J-Class25ppm_NoSCR_Filtered'!$G$5:$M$38, 18, FALSE)</f>
        <v>400843.49680170574</v>
      </c>
      <c r="Q6" s="272">
        <f ca="1">HLOOKUP($B6, 'J-Class25ppm_NoSCR_Filtered'!$G$5:$M$38, 20, FALSE)</f>
        <v>640</v>
      </c>
      <c r="R6" s="272">
        <f ca="1">HLOOKUP($B6, 'J-Class25ppm_NoSCR_Filtered'!$G$5:$M$38, 21, FALSE)</f>
        <v>5.0999999999999996</v>
      </c>
      <c r="S6" s="272">
        <f ca="1">HLOOKUP($B6, 'J-Class25ppm_NoSCR_Filtered'!$G$5:$M$38, 22, FALSE)</f>
        <v>540800</v>
      </c>
      <c r="T6" s="272">
        <f ca="1">HLOOKUP($B6, 'J-Class25ppm_NoSCR_Filtered'!$G$5:$M$38, 24, FALSE)</f>
        <v>632.49466950959493</v>
      </c>
      <c r="U6" s="272">
        <f ca="1">HLOOKUP($B6, 'J-Class25ppm_NoSCR_Filtered'!$G$5:$M$38, 25, FALSE)</f>
        <v>5.0401918976545845</v>
      </c>
      <c r="V6" s="272">
        <f ca="1">HLOOKUP($B6, 'J-Class25ppm_NoSCR_Filtered'!$G$5:$M$38, 26, FALSE)</f>
        <v>534457.99573560769</v>
      </c>
      <c r="W6" s="272">
        <f ca="1">1-HLOOKUP($B6, 'J-Class25ppm_NoSCR_Filtered'!$G$5:$M$38, 30, FALSE)</f>
        <v>0.95660000000000001</v>
      </c>
    </row>
    <row r="7" spans="1:23" x14ac:dyDescent="0.2">
      <c r="A7" s="10" t="s">
        <v>31</v>
      </c>
      <c r="B7" s="46" t="s">
        <v>5</v>
      </c>
      <c r="C7" s="51">
        <f ca="1">HLOOKUP($B7, 'J-Class25ppm_NoSCR_Filtered'!$G$5:$M$38, 8, FALSE)</f>
        <v>9380</v>
      </c>
      <c r="D7" s="51">
        <f ca="1">HLOOKUP($B7, 'J-Class25ppm_NoSCR_Filtered'!$G$5:$M$38, 9, FALSE)</f>
        <v>9270</v>
      </c>
      <c r="E7" s="272">
        <f ca="1">HLOOKUP($B7, 'J-Class25ppm_NoSCR_Filtered'!$G$5:$M$38, 32, FALSE)</f>
        <v>0.90000000000000013</v>
      </c>
      <c r="F7" s="272">
        <f ca="1">HLOOKUP($B7, 'J-Class25ppm_NoSCR_Filtered'!$G$5:$M$38, 33, FALSE)</f>
        <v>8</v>
      </c>
      <c r="G7" s="272">
        <f ca="1">HLOOKUP($B7, 'J-Class25ppm_NoSCR_Filtered'!$G$5:$M$38, 4, FALSE)</f>
        <v>352.8</v>
      </c>
      <c r="H7" s="272">
        <f ca="1">HLOOKUP($B7, 'J-Class25ppm_NoSCR_Filtered'!$G$5:$M$38, 5, FALSE)</f>
        <v>368.1</v>
      </c>
      <c r="I7" s="272">
        <f>HLOOKUP($B7, 'J-Class25ppm_NoSCR_Filtered'!$G$5:$M$38, 29, FALSE)</f>
        <v>490</v>
      </c>
      <c r="J7" s="272">
        <f ca="1">HLOOKUP($B7, 'J-Class25ppm_NoSCR_Filtered'!$G$5:$M$38, 34, FALSE)</f>
        <v>16200</v>
      </c>
      <c r="K7" s="272">
        <f ca="1">HLOOKUP($B7, 'J-Class25ppm_NoSCR_Filtered'!$G$5:$M$38, 12, FALSE)</f>
        <v>330.5</v>
      </c>
      <c r="L7" s="272">
        <f ca="1">HLOOKUP($B7, 'J-Class25ppm_NoSCR_Filtered'!$G$5:$M$38, 13, FALSE)</f>
        <v>6.8</v>
      </c>
      <c r="M7" s="272">
        <f ca="1">HLOOKUP($B7, 'J-Class25ppm_NoSCR_Filtered'!$G$5:$M$38, 14, FALSE)</f>
        <v>408000</v>
      </c>
      <c r="N7" s="272">
        <f ca="1">HLOOKUP($B7, 'J-Class25ppm_NoSCR_Filtered'!$G$5:$M$38, 16, FALSE)</f>
        <v>326.62420042643924</v>
      </c>
      <c r="O7" s="272">
        <f ca="1">HLOOKUP($B7, 'J-Class25ppm_NoSCR_Filtered'!$G$5:$M$38, 17, FALSE)</f>
        <v>6.720255863539446</v>
      </c>
      <c r="P7" s="272">
        <f ca="1">HLOOKUP($B7, 'J-Class25ppm_NoSCR_Filtered'!$G$5:$M$38, 18, FALSE)</f>
        <v>403215.35181236675</v>
      </c>
      <c r="Q7" s="272">
        <f ca="1">HLOOKUP($B7, 'J-Class25ppm_NoSCR_Filtered'!$G$5:$M$38, 20, FALSE)</f>
        <v>640</v>
      </c>
      <c r="R7" s="272">
        <f ca="1">HLOOKUP($B7, 'J-Class25ppm_NoSCR_Filtered'!$G$5:$M$38, 21, FALSE)</f>
        <v>5.2</v>
      </c>
      <c r="S7" s="272">
        <f ca="1">HLOOKUP($B7, 'J-Class25ppm_NoSCR_Filtered'!$G$5:$M$38, 22, FALSE)</f>
        <v>544000</v>
      </c>
      <c r="T7" s="272">
        <f ca="1">HLOOKUP($B7, 'J-Class25ppm_NoSCR_Filtered'!$G$5:$M$38, 24, FALSE)</f>
        <v>632.49466950959493</v>
      </c>
      <c r="U7" s="272">
        <f ca="1">HLOOKUP($B7, 'J-Class25ppm_NoSCR_Filtered'!$G$5:$M$38, 25, FALSE)</f>
        <v>5.1390191897654587</v>
      </c>
      <c r="V7" s="272">
        <f ca="1">HLOOKUP($B7, 'J-Class25ppm_NoSCR_Filtered'!$G$5:$M$38, 26, FALSE)</f>
        <v>537620.46908315562</v>
      </c>
      <c r="W7" s="272">
        <f ca="1">1-HLOOKUP($B7, 'J-Class25ppm_NoSCR_Filtered'!$G$5:$M$38, 30, FALSE)</f>
        <v>0.95660000000000001</v>
      </c>
    </row>
  </sheetData>
  <pageMargins left="0.7" right="0.7" top="0.75" bottom="0.75" header="0.3" footer="0.3"/>
  <pageSetup scale="59" fitToWidth="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37</v>
      </c>
      <c r="B1" s="47" t="s">
        <v>55</v>
      </c>
      <c r="C1" s="49" t="s">
        <v>403</v>
      </c>
      <c r="D1" s="49" t="s">
        <v>404</v>
      </c>
      <c r="E1" s="49" t="s">
        <v>405</v>
      </c>
      <c r="F1" s="49" t="s">
        <v>406</v>
      </c>
      <c r="G1" s="49" t="s">
        <v>427</v>
      </c>
      <c r="H1" s="49" t="s">
        <v>428</v>
      </c>
      <c r="I1" s="49" t="s">
        <v>407</v>
      </c>
      <c r="J1" s="48" t="s">
        <v>436</v>
      </c>
      <c r="K1" s="49" t="s">
        <v>408</v>
      </c>
      <c r="L1" s="49" t="s">
        <v>409</v>
      </c>
      <c r="M1" s="49" t="s">
        <v>410</v>
      </c>
      <c r="N1" s="49" t="s">
        <v>411</v>
      </c>
      <c r="O1" s="49" t="s">
        <v>412</v>
      </c>
      <c r="P1" s="49" t="s">
        <v>413</v>
      </c>
      <c r="Q1" s="49" t="s">
        <v>414</v>
      </c>
      <c r="R1" s="49" t="s">
        <v>415</v>
      </c>
      <c r="S1" s="49" t="s">
        <v>416</v>
      </c>
      <c r="T1" s="49" t="s">
        <v>417</v>
      </c>
      <c r="U1" s="49" t="s">
        <v>418</v>
      </c>
      <c r="V1" s="49" t="s">
        <v>419</v>
      </c>
      <c r="W1" s="49" t="s">
        <v>420</v>
      </c>
    </row>
    <row r="2" spans="1:23" x14ac:dyDescent="0.2">
      <c r="A2" s="10" t="s">
        <v>56</v>
      </c>
      <c r="B2" s="46" t="s">
        <v>22</v>
      </c>
      <c r="C2" s="51">
        <f ca="1">HLOOKUP($B2, 'J-Class15ppm_SCR_Filtered'!$G$5:$I$38, 8, FALSE)</f>
        <v>9400</v>
      </c>
      <c r="D2" s="51">
        <f ca="1">HLOOKUP($B2, 'J-Class15ppm_SCR_Filtered'!$G$5:$I$38, 9, FALSE)</f>
        <v>9310</v>
      </c>
      <c r="E2" s="272">
        <f ca="1">HLOOKUP($B2, 'J-Class15ppm_SCR_Filtered'!$G$5:$I$38, 32, FALSE)</f>
        <v>0.9</v>
      </c>
      <c r="F2" s="272">
        <f ca="1">HLOOKUP($B2, 'J-Class15ppm_SCR_Filtered'!$G$5:$I$38, 33, FALSE)</f>
        <v>10.200000000000001</v>
      </c>
      <c r="G2" s="272">
        <f ca="1">HLOOKUP($B2, 'J-Class15ppm_SCR_Filtered'!$G$5:$I$38, 4, FALSE)</f>
        <v>337.4</v>
      </c>
      <c r="H2" s="272">
        <f ca="1">HLOOKUP($B2, 'J-Class15ppm_SCR_Filtered'!$G$5:$I$38, 5, FALSE)</f>
        <v>349.2</v>
      </c>
      <c r="I2" s="272">
        <f>HLOOKUP($B2, 'J-Class15ppm_SCR_Filtered'!$G$5:$I$38, 29, FALSE)</f>
        <v>490</v>
      </c>
      <c r="J2" s="272">
        <f ca="1">HLOOKUP($B2, 'J-Class15ppm_SCR_Filtered'!$G$5:$I$38, 34, FALSE)</f>
        <v>16200</v>
      </c>
      <c r="K2" s="272">
        <f ca="1">HLOOKUP($B2, 'J-Class15ppm_SCR_Filtered'!$G$5:$I$38, 12, FALSE)</f>
        <v>26.4</v>
      </c>
      <c r="L2" s="272">
        <f ca="1">HLOOKUP($B2, 'J-Class15ppm_SCR_Filtered'!$G$5:$I$38, 13, FALSE)</f>
        <v>6.4</v>
      </c>
      <c r="M2" s="272">
        <f ca="1">HLOOKUP($B2, 'J-Class15ppm_SCR_Filtered'!$G$5:$I$38, 14, FALSE)</f>
        <v>385200</v>
      </c>
      <c r="N2" s="272">
        <f ca="1">HLOOKUP($B2, 'J-Class15ppm_SCR_Filtered'!$G$5:$I$38, 16, FALSE)</f>
        <v>26.14723404255319</v>
      </c>
      <c r="O2" s="272">
        <f ca="1">HLOOKUP($B2, 'J-Class15ppm_SCR_Filtered'!$G$5:$I$38, 17, FALSE)</f>
        <v>6.3387234042553189</v>
      </c>
      <c r="P2" s="272">
        <f ca="1">HLOOKUP($B2, 'J-Class15ppm_SCR_Filtered'!$G$5:$I$38, 18, FALSE)</f>
        <v>381511.91489361704</v>
      </c>
      <c r="Q2" s="272">
        <f ca="1">HLOOKUP($B2, 'J-Class15ppm_SCR_Filtered'!$G$5:$I$38, 20, FALSE)</f>
        <v>96</v>
      </c>
      <c r="R2" s="272">
        <f ca="1">HLOOKUP($B2, 'J-Class15ppm_SCR_Filtered'!$G$5:$I$38, 21, FALSE)</f>
        <v>4.9000000000000004</v>
      </c>
      <c r="S2" s="272">
        <f ca="1">HLOOKUP($B2, 'J-Class15ppm_SCR_Filtered'!$G$5:$I$38, 22, FALSE)</f>
        <v>513600</v>
      </c>
      <c r="T2" s="272">
        <f ca="1">HLOOKUP($B2, 'J-Class15ppm_SCR_Filtered'!$G$5:$I$38, 24, FALSE)</f>
        <v>95.080851063829783</v>
      </c>
      <c r="U2" s="272">
        <f ca="1">HLOOKUP($B2, 'J-Class15ppm_SCR_Filtered'!$G$5:$I$38, 25, FALSE)</f>
        <v>4.853085106382979</v>
      </c>
      <c r="V2" s="272">
        <f ca="1">HLOOKUP($B2, 'J-Class15ppm_SCR_Filtered'!$G$5:$I$38, 26, FALSE)</f>
        <v>508682.55319148937</v>
      </c>
      <c r="W2" s="272">
        <f ca="1">1-HLOOKUP($B2, 'J-Class15ppm_SCR_Filtered'!$G$5:$I$38, 30, FALSE)</f>
        <v>0.95660000000000001</v>
      </c>
    </row>
    <row r="3" spans="1:23" x14ac:dyDescent="0.2">
      <c r="A3" s="10" t="s">
        <v>32</v>
      </c>
      <c r="B3" s="46" t="s">
        <v>4</v>
      </c>
      <c r="C3" s="51">
        <f ca="1">HLOOKUP($B3, 'J-Class15ppm_SCR_Filtered'!$G$5:$I$38, 8, FALSE)</f>
        <v>9270</v>
      </c>
      <c r="D3" s="51">
        <f ca="1">HLOOKUP($B3, 'J-Class15ppm_SCR_Filtered'!$G$5:$I$38, 9, FALSE)</f>
        <v>9180</v>
      </c>
      <c r="E3" s="272">
        <f ca="1">HLOOKUP($B3, 'J-Class15ppm_SCR_Filtered'!$G$5:$I$38, 32, FALSE)</f>
        <v>0.9</v>
      </c>
      <c r="F3" s="272">
        <f ca="1">HLOOKUP($B3, 'J-Class15ppm_SCR_Filtered'!$G$5:$I$38, 33, FALSE)</f>
        <v>10.200000000000001</v>
      </c>
      <c r="G3" s="272">
        <f ca="1">HLOOKUP($B3, 'J-Class15ppm_SCR_Filtered'!$G$5:$I$38, 4, FALSE)</f>
        <v>336.7</v>
      </c>
      <c r="H3" s="272">
        <f ca="1">HLOOKUP($B3, 'J-Class15ppm_SCR_Filtered'!$G$5:$I$38, 5, FALSE)</f>
        <v>348.4</v>
      </c>
      <c r="I3" s="272">
        <f>HLOOKUP($B3, 'J-Class15ppm_SCR_Filtered'!$G$5:$I$38, 29, FALSE)</f>
        <v>490</v>
      </c>
      <c r="J3" s="272">
        <f ca="1">HLOOKUP($B3, 'J-Class15ppm_SCR_Filtered'!$G$5:$I$38, 34, FALSE)</f>
        <v>16200</v>
      </c>
      <c r="K3" s="272">
        <f ca="1">HLOOKUP($B3, 'J-Class15ppm_SCR_Filtered'!$G$5:$I$38, 12, FALSE)</f>
        <v>26.4</v>
      </c>
      <c r="L3" s="272">
        <f ca="1">HLOOKUP($B3, 'J-Class15ppm_SCR_Filtered'!$G$5:$I$38, 13, FALSE)</f>
        <v>6.3</v>
      </c>
      <c r="M3" s="272">
        <f ca="1">HLOOKUP($B3, 'J-Class15ppm_SCR_Filtered'!$G$5:$I$38, 14, FALSE)</f>
        <v>379200</v>
      </c>
      <c r="N3" s="272">
        <f ca="1">HLOOKUP($B3, 'J-Class15ppm_SCR_Filtered'!$G$5:$I$38, 16, FALSE)</f>
        <v>26.143689320388351</v>
      </c>
      <c r="O3" s="272">
        <f ca="1">HLOOKUP($B3, 'J-Class15ppm_SCR_Filtered'!$G$5:$I$38, 17, FALSE)</f>
        <v>6.2388349514563108</v>
      </c>
      <c r="P3" s="272">
        <f ca="1">HLOOKUP($B3, 'J-Class15ppm_SCR_Filtered'!$G$5:$I$38, 18, FALSE)</f>
        <v>375518.44660194177</v>
      </c>
      <c r="Q3" s="272">
        <f ca="1">HLOOKUP($B3, 'J-Class15ppm_SCR_Filtered'!$G$5:$I$38, 20, FALSE)</f>
        <v>96</v>
      </c>
      <c r="R3" s="272">
        <f ca="1">HLOOKUP($B3, 'J-Class15ppm_SCR_Filtered'!$G$5:$I$38, 21, FALSE)</f>
        <v>4.8</v>
      </c>
      <c r="S3" s="272">
        <f ca="1">HLOOKUP($B3, 'J-Class15ppm_SCR_Filtered'!$G$5:$I$38, 22, FALSE)</f>
        <v>505600</v>
      </c>
      <c r="T3" s="272">
        <f ca="1">HLOOKUP($B3, 'J-Class15ppm_SCR_Filtered'!$G$5:$I$38, 24, FALSE)</f>
        <v>95.067961165048544</v>
      </c>
      <c r="U3" s="272">
        <f ca="1">HLOOKUP($B3, 'J-Class15ppm_SCR_Filtered'!$G$5:$I$38, 25, FALSE)</f>
        <v>4.7533980582524276</v>
      </c>
      <c r="V3" s="272">
        <f ca="1">HLOOKUP($B3, 'J-Class15ppm_SCR_Filtered'!$G$5:$I$38, 26, FALSE)</f>
        <v>500691.26213592233</v>
      </c>
      <c r="W3" s="272">
        <f ca="1">1-HLOOKUP($B3, 'J-Class15ppm_SCR_Filtered'!$G$5:$I$38, 30, FALSE)</f>
        <v>0.95660000000000001</v>
      </c>
    </row>
    <row r="4" spans="1:23" x14ac:dyDescent="0.2">
      <c r="A4" s="10" t="s">
        <v>31</v>
      </c>
      <c r="B4" s="46" t="s">
        <v>5</v>
      </c>
      <c r="C4" s="51">
        <f ca="1">HLOOKUP($B4, 'J-Class15ppm_SCR_Filtered'!$G$5:$I$38, 8, FALSE)</f>
        <v>9400</v>
      </c>
      <c r="D4" s="51">
        <f ca="1">HLOOKUP($B4, 'J-Class15ppm_SCR_Filtered'!$G$5:$I$38, 9, FALSE)</f>
        <v>9310</v>
      </c>
      <c r="E4" s="272">
        <f ca="1">HLOOKUP($B4, 'J-Class15ppm_SCR_Filtered'!$G$5:$I$38, 32, FALSE)</f>
        <v>0.9</v>
      </c>
      <c r="F4" s="272">
        <f ca="1">HLOOKUP($B4, 'J-Class15ppm_SCR_Filtered'!$G$5:$I$38, 33, FALSE)</f>
        <v>10.200000000000001</v>
      </c>
      <c r="G4" s="272">
        <f ca="1">HLOOKUP($B4, 'J-Class15ppm_SCR_Filtered'!$G$5:$I$38, 4, FALSE)</f>
        <v>335.3</v>
      </c>
      <c r="H4" s="272">
        <f ca="1">HLOOKUP($B4, 'J-Class15ppm_SCR_Filtered'!$G$5:$I$38, 5, FALSE)</f>
        <v>346.7</v>
      </c>
      <c r="I4" s="272">
        <f>HLOOKUP($B4, 'J-Class15ppm_SCR_Filtered'!$G$5:$I$38, 29, FALSE)</f>
        <v>490</v>
      </c>
      <c r="J4" s="272">
        <f ca="1">HLOOKUP($B4, 'J-Class15ppm_SCR_Filtered'!$G$5:$I$38, 34, FALSE)</f>
        <v>16200</v>
      </c>
      <c r="K4" s="272">
        <f ca="1">HLOOKUP($B4, 'J-Class15ppm_SCR_Filtered'!$G$5:$I$38, 12, FALSE)</f>
        <v>26.4</v>
      </c>
      <c r="L4" s="272">
        <f ca="1">HLOOKUP($B4, 'J-Class15ppm_SCR_Filtered'!$G$5:$I$38, 13, FALSE)</f>
        <v>6.4</v>
      </c>
      <c r="M4" s="272">
        <f ca="1">HLOOKUP($B4, 'J-Class15ppm_SCR_Filtered'!$G$5:$I$38, 14, FALSE)</f>
        <v>381600</v>
      </c>
      <c r="N4" s="272">
        <f ca="1">HLOOKUP($B4, 'J-Class15ppm_SCR_Filtered'!$G$5:$I$38, 16, FALSE)</f>
        <v>26.14723404255319</v>
      </c>
      <c r="O4" s="272">
        <f ca="1">HLOOKUP($B4, 'J-Class15ppm_SCR_Filtered'!$G$5:$I$38, 17, FALSE)</f>
        <v>6.3387234042553189</v>
      </c>
      <c r="P4" s="272">
        <f ca="1">HLOOKUP($B4, 'J-Class15ppm_SCR_Filtered'!$G$5:$I$38, 18, FALSE)</f>
        <v>377946.38297872338</v>
      </c>
      <c r="Q4" s="272">
        <f ca="1">HLOOKUP($B4, 'J-Class15ppm_SCR_Filtered'!$G$5:$I$38, 20, FALSE)</f>
        <v>96</v>
      </c>
      <c r="R4" s="272">
        <f ca="1">HLOOKUP($B4, 'J-Class15ppm_SCR_Filtered'!$G$5:$I$38, 21, FALSE)</f>
        <v>4.8</v>
      </c>
      <c r="S4" s="272">
        <f ca="1">HLOOKUP($B4, 'J-Class15ppm_SCR_Filtered'!$G$5:$I$38, 22, FALSE)</f>
        <v>508800</v>
      </c>
      <c r="T4" s="272">
        <f ca="1">HLOOKUP($B4, 'J-Class15ppm_SCR_Filtered'!$G$5:$I$38, 24, FALSE)</f>
        <v>95.080851063829783</v>
      </c>
      <c r="U4" s="272">
        <f ca="1">HLOOKUP($B4, 'J-Class15ppm_SCR_Filtered'!$G$5:$I$38, 25, FALSE)</f>
        <v>4.7540425531914892</v>
      </c>
      <c r="V4" s="272">
        <f ca="1">HLOOKUP($B4, 'J-Class15ppm_SCR_Filtered'!$G$5:$I$38, 26, FALSE)</f>
        <v>503928.51063829788</v>
      </c>
      <c r="W4" s="272">
        <f ca="1">1-HLOOKUP($B4, 'J-Class15ppm_SCR_Filtered'!$G$5:$I$38, 30, FALSE)</f>
        <v>0.95660000000000001</v>
      </c>
    </row>
  </sheetData>
  <pageMargins left="0.7" right="0.7" top="0.75" bottom="0.75" header="0.3" footer="0.3"/>
  <pageSetup scale="59" fitToWidth="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37</v>
      </c>
      <c r="B1" s="47" t="s">
        <v>55</v>
      </c>
      <c r="C1" s="49" t="s">
        <v>403</v>
      </c>
      <c r="D1" s="49" t="s">
        <v>404</v>
      </c>
      <c r="E1" s="49" t="s">
        <v>405</v>
      </c>
      <c r="F1" s="49" t="s">
        <v>406</v>
      </c>
      <c r="G1" s="49" t="s">
        <v>427</v>
      </c>
      <c r="H1" s="49" t="s">
        <v>428</v>
      </c>
      <c r="I1" s="49" t="s">
        <v>407</v>
      </c>
      <c r="J1" s="48" t="s">
        <v>436</v>
      </c>
      <c r="K1" s="49" t="s">
        <v>408</v>
      </c>
      <c r="L1" s="49" t="s">
        <v>409</v>
      </c>
      <c r="M1" s="49" t="s">
        <v>410</v>
      </c>
      <c r="N1" s="49" t="s">
        <v>411</v>
      </c>
      <c r="O1" s="49" t="s">
        <v>412</v>
      </c>
      <c r="P1" s="49" t="s">
        <v>413</v>
      </c>
      <c r="Q1" s="49" t="s">
        <v>414</v>
      </c>
      <c r="R1" s="49" t="s">
        <v>415</v>
      </c>
      <c r="S1" s="49" t="s">
        <v>416</v>
      </c>
      <c r="T1" s="49" t="s">
        <v>417</v>
      </c>
      <c r="U1" s="49" t="s">
        <v>418</v>
      </c>
      <c r="V1" s="49" t="s">
        <v>419</v>
      </c>
      <c r="W1" s="49" t="s">
        <v>420</v>
      </c>
    </row>
    <row r="2" spans="1:23" x14ac:dyDescent="0.2">
      <c r="A2" s="10" t="s">
        <v>56</v>
      </c>
      <c r="B2" s="46" t="s">
        <v>22</v>
      </c>
      <c r="C2" s="51">
        <f ca="1">HLOOKUP($B2, 'J-Class15ppm_NoSCR_Filtered'!$G$5:$J$38, 8, FALSE)</f>
        <v>9400</v>
      </c>
      <c r="D2" s="51">
        <f ca="1">HLOOKUP($B2, 'J-Class15ppm_NoSCR_Filtered'!$G$5:$J$38, 9, FALSE)</f>
        <v>9310</v>
      </c>
      <c r="E2" s="272">
        <f ca="1">HLOOKUP($B2, 'J-Class15ppm_NoSCR_Filtered'!$G$5:$J$38, 32, FALSE)</f>
        <v>0.9</v>
      </c>
      <c r="F2" s="272">
        <f ca="1">HLOOKUP($B2, 'J-Class15ppm_NoSCR_Filtered'!$G$5:$J$38, 33, FALSE)</f>
        <v>10.200000000000001</v>
      </c>
      <c r="G2" s="272">
        <f ca="1">HLOOKUP($B2, 'J-Class15ppm_NoSCR_Filtered'!$G$5:$J$38, 4, FALSE)</f>
        <v>337.4</v>
      </c>
      <c r="H2" s="272">
        <f ca="1">HLOOKUP($B2, 'J-Class15ppm_NoSCR_Filtered'!$G$5:$J$38, 5, FALSE)</f>
        <v>349.2</v>
      </c>
      <c r="I2" s="272">
        <f>HLOOKUP($B2, 'J-Class15ppm_NoSCR_Filtered'!$G$5:$J$38, 29, FALSE)</f>
        <v>490</v>
      </c>
      <c r="J2" s="272">
        <f ca="1">HLOOKUP($B2, 'J-Class15ppm_NoSCR_Filtered'!$G$5:$J$38, 34, FALSE)</f>
        <v>16200</v>
      </c>
      <c r="K2" s="272">
        <f ca="1">HLOOKUP($B2, 'J-Class15ppm_NoSCR_Filtered'!$G$5:$J$38, 12, FALSE)</f>
        <v>188.6</v>
      </c>
      <c r="L2" s="272">
        <f ca="1">HLOOKUP($B2, 'J-Class15ppm_NoSCR_Filtered'!$G$5:$J$38, 13, FALSE)</f>
        <v>6.4</v>
      </c>
      <c r="M2" s="272">
        <f ca="1">HLOOKUP($B2, 'J-Class15ppm_NoSCR_Filtered'!$G$5:$J$38, 14, FALSE)</f>
        <v>385200</v>
      </c>
      <c r="N2" s="272">
        <f ca="1">HLOOKUP($B2, 'J-Class15ppm_NoSCR_Filtered'!$G$5:$J$38, 16, FALSE)</f>
        <v>186.79425531914893</v>
      </c>
      <c r="O2" s="272">
        <f ca="1">HLOOKUP($B2, 'J-Class15ppm_NoSCR_Filtered'!$G$5:$J$38, 17, FALSE)</f>
        <v>6.3387234042553189</v>
      </c>
      <c r="P2" s="272">
        <f ca="1">HLOOKUP($B2, 'J-Class15ppm_NoSCR_Filtered'!$G$5:$J$38, 18, FALSE)</f>
        <v>381511.91489361704</v>
      </c>
      <c r="Q2" s="272">
        <f ca="1">HLOOKUP($B2, 'J-Class15ppm_NoSCR_Filtered'!$G$5:$J$38, 20, FALSE)</f>
        <v>640</v>
      </c>
      <c r="R2" s="272">
        <f ca="1">HLOOKUP($B2, 'J-Class15ppm_NoSCR_Filtered'!$G$5:$J$38, 21, FALSE)</f>
        <v>4.9000000000000004</v>
      </c>
      <c r="S2" s="272">
        <f ca="1">HLOOKUP($B2, 'J-Class15ppm_NoSCR_Filtered'!$G$5:$J$38, 22, FALSE)</f>
        <v>513600</v>
      </c>
      <c r="T2" s="272">
        <f ca="1">HLOOKUP($B2, 'J-Class15ppm_NoSCR_Filtered'!$G$5:$J$38, 24, FALSE)</f>
        <v>633.87234042553189</v>
      </c>
      <c r="U2" s="272">
        <f ca="1">HLOOKUP($B2, 'J-Class15ppm_NoSCR_Filtered'!$G$5:$J$38, 25, FALSE)</f>
        <v>4.853085106382979</v>
      </c>
      <c r="V2" s="272">
        <f ca="1">HLOOKUP($B2, 'J-Class15ppm_NoSCR_Filtered'!$G$5:$J$38, 26, FALSE)</f>
        <v>508682.55319148937</v>
      </c>
      <c r="W2" s="272">
        <f ca="1">1-HLOOKUP($B2, 'J-Class15ppm_NoSCR_Filtered'!$G$5:$J$38, 30, FALSE)</f>
        <v>0.95660000000000001</v>
      </c>
    </row>
    <row r="3" spans="1:23" x14ac:dyDescent="0.2">
      <c r="A3" s="10" t="s">
        <v>32</v>
      </c>
      <c r="B3" s="46" t="s">
        <v>4</v>
      </c>
      <c r="C3" s="51">
        <f ca="1">HLOOKUP($B3, 'J-Class15ppm_NoSCR_Filtered'!$G$5:$J$38, 8, FALSE)</f>
        <v>9270</v>
      </c>
      <c r="D3" s="51">
        <f ca="1">HLOOKUP($B3, 'J-Class15ppm_NoSCR_Filtered'!$G$5:$J$38, 9, FALSE)</f>
        <v>9180</v>
      </c>
      <c r="E3" s="272">
        <f ca="1">HLOOKUP($B3, 'J-Class15ppm_NoSCR_Filtered'!$G$5:$J$38, 32, FALSE)</f>
        <v>0.9</v>
      </c>
      <c r="F3" s="272">
        <f ca="1">HLOOKUP($B3, 'J-Class15ppm_NoSCR_Filtered'!$G$5:$J$38, 33, FALSE)</f>
        <v>10.200000000000001</v>
      </c>
      <c r="G3" s="272">
        <f ca="1">HLOOKUP($B3, 'J-Class15ppm_NoSCR_Filtered'!$G$5:$J$38, 4, FALSE)</f>
        <v>336.7</v>
      </c>
      <c r="H3" s="272">
        <f ca="1">HLOOKUP($B3, 'J-Class15ppm_NoSCR_Filtered'!$G$5:$J$38, 5, FALSE)</f>
        <v>348.4</v>
      </c>
      <c r="I3" s="272">
        <f>HLOOKUP($B3, 'J-Class15ppm_NoSCR_Filtered'!$G$5:$J$38, 29, FALSE)</f>
        <v>490</v>
      </c>
      <c r="J3" s="272">
        <f ca="1">HLOOKUP($B3, 'J-Class15ppm_NoSCR_Filtered'!$G$5:$J$38, 34, FALSE)</f>
        <v>16200</v>
      </c>
      <c r="K3" s="272">
        <f ca="1">HLOOKUP($B3, 'J-Class15ppm_NoSCR_Filtered'!$G$5:$J$38, 12, FALSE)</f>
        <v>188.6</v>
      </c>
      <c r="L3" s="272">
        <f ca="1">HLOOKUP($B3, 'J-Class15ppm_NoSCR_Filtered'!$G$5:$J$38, 13, FALSE)</f>
        <v>6.3</v>
      </c>
      <c r="M3" s="272">
        <f ca="1">HLOOKUP($B3, 'J-Class15ppm_NoSCR_Filtered'!$G$5:$J$38, 14, FALSE)</f>
        <v>379200</v>
      </c>
      <c r="N3" s="272">
        <f ca="1">HLOOKUP($B3, 'J-Class15ppm_NoSCR_Filtered'!$G$5:$J$38, 16, FALSE)</f>
        <v>186.76893203883495</v>
      </c>
      <c r="O3" s="272">
        <f ca="1">HLOOKUP($B3, 'J-Class15ppm_NoSCR_Filtered'!$G$5:$J$38, 17, FALSE)</f>
        <v>6.2388349514563108</v>
      </c>
      <c r="P3" s="272">
        <f ca="1">HLOOKUP($B3, 'J-Class15ppm_NoSCR_Filtered'!$G$5:$J$38, 18, FALSE)</f>
        <v>375518.44660194177</v>
      </c>
      <c r="Q3" s="272">
        <f ca="1">HLOOKUP($B3, 'J-Class15ppm_NoSCR_Filtered'!$G$5:$J$38, 20, FALSE)</f>
        <v>640</v>
      </c>
      <c r="R3" s="272">
        <f ca="1">HLOOKUP($B3, 'J-Class15ppm_NoSCR_Filtered'!$G$5:$J$38, 21, FALSE)</f>
        <v>4.8</v>
      </c>
      <c r="S3" s="272">
        <f ca="1">HLOOKUP($B3, 'J-Class15ppm_NoSCR_Filtered'!$G$5:$J$38, 22, FALSE)</f>
        <v>505600</v>
      </c>
      <c r="T3" s="272">
        <f ca="1">HLOOKUP($B3, 'J-Class15ppm_NoSCR_Filtered'!$G$5:$J$38, 24, FALSE)</f>
        <v>633.78640776699024</v>
      </c>
      <c r="U3" s="272">
        <f ca="1">HLOOKUP($B3, 'J-Class15ppm_NoSCR_Filtered'!$G$5:$J$38, 25, FALSE)</f>
        <v>4.7533980582524276</v>
      </c>
      <c r="V3" s="272">
        <f ca="1">HLOOKUP($B3, 'J-Class15ppm_NoSCR_Filtered'!$G$5:$J$38, 26, FALSE)</f>
        <v>500691.26213592233</v>
      </c>
      <c r="W3" s="272">
        <f ca="1">1-HLOOKUP($B3, 'J-Class15ppm_NoSCR_Filtered'!$G$5:$J$38, 30, FALSE)</f>
        <v>0.95660000000000001</v>
      </c>
    </row>
    <row r="4" spans="1:23" x14ac:dyDescent="0.2">
      <c r="A4" s="10" t="s">
        <v>31</v>
      </c>
      <c r="B4" s="46" t="s">
        <v>5</v>
      </c>
      <c r="C4" s="51">
        <f ca="1">HLOOKUP($B4, 'J-Class15ppm_NoSCR_Filtered'!$G$5:$J$38, 8, FALSE)</f>
        <v>9400</v>
      </c>
      <c r="D4" s="51">
        <f ca="1">HLOOKUP($B4, 'J-Class15ppm_NoSCR_Filtered'!$G$5:$J$38, 9, FALSE)</f>
        <v>9310</v>
      </c>
      <c r="E4" s="272">
        <f ca="1">HLOOKUP($B4, 'J-Class15ppm_NoSCR_Filtered'!$G$5:$J$38, 32, FALSE)</f>
        <v>0.9</v>
      </c>
      <c r="F4" s="272">
        <f ca="1">HLOOKUP($B4, 'J-Class15ppm_NoSCR_Filtered'!$G$5:$J$38, 33, FALSE)</f>
        <v>10.200000000000001</v>
      </c>
      <c r="G4" s="272">
        <f ca="1">HLOOKUP($B4, 'J-Class15ppm_NoSCR_Filtered'!$G$5:$J$38, 4, FALSE)</f>
        <v>335.3</v>
      </c>
      <c r="H4" s="272">
        <f ca="1">HLOOKUP($B4, 'J-Class15ppm_NoSCR_Filtered'!$G$5:$J$38, 5, FALSE)</f>
        <v>346.7</v>
      </c>
      <c r="I4" s="272">
        <f>HLOOKUP($B4, 'J-Class15ppm_NoSCR_Filtered'!$G$5:$J$38, 29, FALSE)</f>
        <v>490</v>
      </c>
      <c r="J4" s="272">
        <f ca="1">HLOOKUP($B4, 'J-Class15ppm_NoSCR_Filtered'!$G$5:$J$38, 34, FALSE)</f>
        <v>16200</v>
      </c>
      <c r="K4" s="272">
        <f ca="1">HLOOKUP($B4, 'J-Class15ppm_NoSCR_Filtered'!$G$5:$J$38, 12, FALSE)</f>
        <v>188.6</v>
      </c>
      <c r="L4" s="272">
        <f ca="1">HLOOKUP($B4, 'J-Class15ppm_NoSCR_Filtered'!$G$5:$J$38, 13, FALSE)</f>
        <v>6.4</v>
      </c>
      <c r="M4" s="272">
        <f ca="1">HLOOKUP($B4, 'J-Class15ppm_NoSCR_Filtered'!$G$5:$J$38, 14, FALSE)</f>
        <v>381600</v>
      </c>
      <c r="N4" s="272">
        <f ca="1">HLOOKUP($B4, 'J-Class15ppm_NoSCR_Filtered'!$G$5:$J$38, 16, FALSE)</f>
        <v>186.79425531914893</v>
      </c>
      <c r="O4" s="272">
        <f ca="1">HLOOKUP($B4, 'J-Class15ppm_NoSCR_Filtered'!$G$5:$J$38, 17, FALSE)</f>
        <v>6.3387234042553189</v>
      </c>
      <c r="P4" s="272">
        <f ca="1">HLOOKUP($B4, 'J-Class15ppm_NoSCR_Filtered'!$G$5:$J$38, 18, FALSE)</f>
        <v>377946.38297872338</v>
      </c>
      <c r="Q4" s="272">
        <f ca="1">HLOOKUP($B4, 'J-Class15ppm_NoSCR_Filtered'!$G$5:$J$38, 20, FALSE)</f>
        <v>640</v>
      </c>
      <c r="R4" s="272">
        <f ca="1">HLOOKUP($B4, 'J-Class15ppm_NoSCR_Filtered'!$G$5:$J$38, 21, FALSE)</f>
        <v>4.8</v>
      </c>
      <c r="S4" s="272">
        <f ca="1">HLOOKUP($B4, 'J-Class15ppm_NoSCR_Filtered'!$G$5:$J$38, 22, FALSE)</f>
        <v>508800</v>
      </c>
      <c r="T4" s="272">
        <f ca="1">HLOOKUP($B4, 'J-Class15ppm_NoSCR_Filtered'!$G$5:$J$38, 24, FALSE)</f>
        <v>633.87234042553189</v>
      </c>
      <c r="U4" s="272">
        <f ca="1">HLOOKUP($B4, 'J-Class15ppm_NoSCR_Filtered'!$G$5:$J$38, 25, FALSE)</f>
        <v>4.7540425531914892</v>
      </c>
      <c r="V4" s="272">
        <f ca="1">HLOOKUP($B4, 'J-Class15ppm_NoSCR_Filtered'!$G$5:$J$38, 26, FALSE)</f>
        <v>503928.51063829788</v>
      </c>
      <c r="W4" s="272">
        <f ca="1">1-HLOOKUP($B4, 'J-Class15ppm_NoSCR_Filtered'!$G$5:$J$38, 30, FALSE)</f>
        <v>0.95660000000000001</v>
      </c>
    </row>
  </sheetData>
  <pageMargins left="0.7" right="0.7" top="0.75" bottom="0.75" header="0.3" footer="0.3"/>
  <pageSetup scale="59" fitToWidth="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7" x14ac:dyDescent="0.2">
      <c r="A1" s="47" t="s">
        <v>37</v>
      </c>
      <c r="B1" s="47" t="s">
        <v>55</v>
      </c>
      <c r="C1" s="49" t="s">
        <v>303</v>
      </c>
      <c r="D1" s="49" t="s">
        <v>304</v>
      </c>
      <c r="E1" s="49" t="s">
        <v>305</v>
      </c>
      <c r="F1" s="49" t="s">
        <v>306</v>
      </c>
      <c r="G1" s="49" t="s">
        <v>429</v>
      </c>
      <c r="H1" s="49" t="s">
        <v>430</v>
      </c>
      <c r="I1" s="49" t="s">
        <v>307</v>
      </c>
      <c r="J1" s="48" t="s">
        <v>437</v>
      </c>
      <c r="K1" s="49" t="s">
        <v>308</v>
      </c>
      <c r="L1" s="49" t="s">
        <v>309</v>
      </c>
      <c r="M1" s="49" t="s">
        <v>310</v>
      </c>
      <c r="N1" s="49" t="s">
        <v>311</v>
      </c>
      <c r="O1" s="49" t="s">
        <v>312</v>
      </c>
      <c r="P1" s="49" t="s">
        <v>313</v>
      </c>
      <c r="Q1" s="49" t="s">
        <v>314</v>
      </c>
      <c r="R1" s="49" t="s">
        <v>315</v>
      </c>
      <c r="S1" s="49" t="s">
        <v>316</v>
      </c>
      <c r="T1" s="49" t="s">
        <v>317</v>
      </c>
      <c r="U1" s="49" t="s">
        <v>318</v>
      </c>
      <c r="V1" s="49" t="s">
        <v>319</v>
      </c>
      <c r="W1" s="49" t="s">
        <v>320</v>
      </c>
      <c r="X1" s="49" t="s">
        <v>321</v>
      </c>
      <c r="Y1" s="49" t="s">
        <v>322</v>
      </c>
      <c r="Z1" s="49" t="s">
        <v>431</v>
      </c>
      <c r="AA1" s="49" t="s">
        <v>432</v>
      </c>
    </row>
    <row r="2" spans="1:27" x14ac:dyDescent="0.2">
      <c r="A2" s="10" t="s">
        <v>34</v>
      </c>
      <c r="B2" s="46" t="s">
        <v>3</v>
      </c>
      <c r="C2" s="51">
        <f ca="1">HLOOKUP($B2, 'J-Class_CC_Filtered'!$G$5:$L$46, 12, FALSE)</f>
        <v>6370</v>
      </c>
      <c r="D2" s="51">
        <f ca="1">HLOOKUP($B2, 'J-Class_CC_Filtered'!$G$5:$L$46, 13, FALSE)</f>
        <v>6340</v>
      </c>
      <c r="E2" s="272">
        <f ca="1">HLOOKUP($B2, 'J-Class_CC_Filtered'!$G$5:$L$46, 40, FALSE)</f>
        <v>1.54</v>
      </c>
      <c r="F2" s="272">
        <f ca="1">HLOOKUP($B2, 'J-Class_CC_Filtered'!$G$5:$L$46, 41, FALSE)</f>
        <v>1.73</v>
      </c>
      <c r="G2" s="272">
        <f ca="1">HLOOKUP($B2, 'J-Class_CC_Filtered'!$G$5:$L$46, 4, FALSE)</f>
        <v>517.9</v>
      </c>
      <c r="H2" s="272">
        <f ca="1">HLOOKUP($B2, 'J-Class_CC_Filtered'!$G$5:$L$46, 5, FALSE)</f>
        <v>547.79999999999995</v>
      </c>
      <c r="I2" s="272">
        <f>HLOOKUP($B2, 'J-Class_CC_Filtered'!$G$5:$L$46, 37, FALSE)</f>
        <v>3490</v>
      </c>
      <c r="J2" s="272">
        <f ca="1">HLOOKUP($B2, 'J-Class_CC_Filtered'!$G$5:$L$46, 42, FALSE)</f>
        <v>16200</v>
      </c>
      <c r="K2" s="272">
        <f ca="1">HLOOKUP($B2, 'J-Class_CC_Filtered'!$G$5:$L$46, 20, FALSE)</f>
        <v>26.4</v>
      </c>
      <c r="L2" s="272">
        <f ca="1">HLOOKUP($B2, 'J-Class_CC_Filtered'!$G$5:$L$46, 21, FALSE)</f>
        <v>6.8</v>
      </c>
      <c r="M2" s="272">
        <f ca="1">HLOOKUP($B2, 'J-Class_CC_Filtered'!$G$5:$L$46, 22, FALSE)</f>
        <v>406800</v>
      </c>
      <c r="N2" s="272">
        <f ca="1">HLOOKUP($B2, 'J-Class_CC_Filtered'!$G$5:$L$46, 24, FALSE)</f>
        <v>26.275667189952905</v>
      </c>
      <c r="O2" s="272">
        <f ca="1">HLOOKUP($B2, 'J-Class_CC_Filtered'!$G$5:$L$46, 25, FALSE)</f>
        <v>6.7679748822605967</v>
      </c>
      <c r="P2" s="272">
        <f ca="1">HLOOKUP($B2, 'J-Class_CC_Filtered'!$G$5:$L$46, 26, FALSE)</f>
        <v>404884.14442700159</v>
      </c>
      <c r="Q2" s="272">
        <f ca="1">HLOOKUP($B2, 'J-Class_CC_Filtered'!$G$5:$L$46, 28, FALSE)</f>
        <v>96</v>
      </c>
      <c r="R2" s="272">
        <f ca="1">HLOOKUP($B2, 'J-Class_CC_Filtered'!$G$5:$L$46, 29, FALSE)</f>
        <v>5.2</v>
      </c>
      <c r="S2" s="272">
        <f ca="1">HLOOKUP($B2, 'J-Class_CC_Filtered'!$G$5:$L$46, 30, FALSE)</f>
        <v>545600</v>
      </c>
      <c r="T2" s="272">
        <f ca="1">HLOOKUP($B2, 'J-Class_CC_Filtered'!$G$5:$L$46, 32, FALSE)</f>
        <v>95.547880690737827</v>
      </c>
      <c r="U2" s="272">
        <f ca="1">HLOOKUP($B2, 'J-Class_CC_Filtered'!$G$5:$L$46, 33, FALSE)</f>
        <v>5.1755102040816325</v>
      </c>
      <c r="V2" s="272">
        <f ca="1">HLOOKUP($B2, 'J-Class_CC_Filtered'!$G$5:$L$46, 34, FALSE)</f>
        <v>543030.45525902673</v>
      </c>
      <c r="W2" s="272">
        <f ca="1">1-HLOOKUP($B2, 'J-Class_CC_Filtered'!$G$5:$L$46, 38, FALSE)</f>
        <v>0.9708</v>
      </c>
      <c r="X2" s="272">
        <f ca="1">HLOOKUP($B2, 'J-Class_CC_Filtered'!$G$5:$L$46, 16, FALSE)</f>
        <v>7130</v>
      </c>
      <c r="Y2" s="272">
        <f ca="1">HLOOKUP($B2, 'J-Class_CC_Filtered'!$G$5:$L$46, 17, FALSE)</f>
        <v>7540</v>
      </c>
      <c r="Z2" s="272">
        <f ca="1">HLOOKUP($B2, 'J-Class_CC_Filtered'!$G$5:$L$46, 8, FALSE)</f>
        <v>235.7</v>
      </c>
      <c r="AA2" s="272">
        <f ca="1">HLOOKUP($B2, 'J-Class_CC_Filtered'!$G$5:$L$46, 9, FALSE)</f>
        <v>199.5</v>
      </c>
    </row>
    <row r="3" spans="1:27" x14ac:dyDescent="0.2">
      <c r="A3" s="10" t="s">
        <v>33</v>
      </c>
      <c r="B3" s="46" t="s">
        <v>30</v>
      </c>
      <c r="C3" s="51">
        <f ca="1">HLOOKUP($B3, 'J-Class_CC_Filtered'!$G$5:$L$46, 12, FALSE)</f>
        <v>6370</v>
      </c>
      <c r="D3" s="51">
        <f ca="1">HLOOKUP($B3, 'J-Class_CC_Filtered'!$G$5:$L$46, 13, FALSE)</f>
        <v>6350</v>
      </c>
      <c r="E3" s="272">
        <f ca="1">HLOOKUP($B3, 'J-Class_CC_Filtered'!$G$5:$L$46, 40, FALSE)</f>
        <v>1.57</v>
      </c>
      <c r="F3" s="272">
        <f ca="1">HLOOKUP($B3, 'J-Class_CC_Filtered'!$G$5:$L$46, 41, FALSE)</f>
        <v>2.09</v>
      </c>
      <c r="G3" s="272">
        <f ca="1">HLOOKUP($B3, 'J-Class_CC_Filtered'!$G$5:$L$46, 4, FALSE)</f>
        <v>512.29999999999995</v>
      </c>
      <c r="H3" s="272">
        <f ca="1">HLOOKUP($B3, 'J-Class_CC_Filtered'!$G$5:$L$46, 5, FALSE)</f>
        <v>546.70000000000005</v>
      </c>
      <c r="I3" s="272">
        <f>HLOOKUP($B3, 'J-Class_CC_Filtered'!$G$5:$L$46, 37, FALSE)</f>
        <v>3490</v>
      </c>
      <c r="J3" s="272">
        <f ca="1">HLOOKUP($B3, 'J-Class_CC_Filtered'!$G$5:$L$46, 42, FALSE)</f>
        <v>16200</v>
      </c>
      <c r="K3" s="272">
        <f ca="1">HLOOKUP($B3, 'J-Class_CC_Filtered'!$G$5:$L$46, 20, FALSE)</f>
        <v>26.4</v>
      </c>
      <c r="L3" s="272">
        <f ca="1">HLOOKUP($B3, 'J-Class_CC_Filtered'!$G$5:$L$46, 21, FALSE)</f>
        <v>6.8</v>
      </c>
      <c r="M3" s="272">
        <f ca="1">HLOOKUP($B3, 'J-Class_CC_Filtered'!$G$5:$L$46, 22, FALSE)</f>
        <v>406800</v>
      </c>
      <c r="N3" s="272">
        <f ca="1">HLOOKUP($B3, 'J-Class_CC_Filtered'!$G$5:$L$46, 24, FALSE)</f>
        <v>26.317111459968604</v>
      </c>
      <c r="O3" s="272">
        <f ca="1">HLOOKUP($B3, 'J-Class_CC_Filtered'!$G$5:$L$46, 25, FALSE)</f>
        <v>6.7786499215070641</v>
      </c>
      <c r="P3" s="272">
        <f ca="1">HLOOKUP($B3, 'J-Class_CC_Filtered'!$G$5:$L$46, 26, FALSE)</f>
        <v>405522.76295133436</v>
      </c>
      <c r="Q3" s="272">
        <f ca="1">HLOOKUP($B3, 'J-Class_CC_Filtered'!$G$5:$L$46, 28, FALSE)</f>
        <v>96</v>
      </c>
      <c r="R3" s="272">
        <f ca="1">HLOOKUP($B3, 'J-Class_CC_Filtered'!$G$5:$L$46, 29, FALSE)</f>
        <v>5.2</v>
      </c>
      <c r="S3" s="272">
        <f ca="1">HLOOKUP($B3, 'J-Class_CC_Filtered'!$G$5:$L$46, 30, FALSE)</f>
        <v>545600</v>
      </c>
      <c r="T3" s="272">
        <f ca="1">HLOOKUP($B3, 'J-Class_CC_Filtered'!$G$5:$L$46, 32, FALSE)</f>
        <v>95.698587127158561</v>
      </c>
      <c r="U3" s="272">
        <f ca="1">HLOOKUP($B3, 'J-Class_CC_Filtered'!$G$5:$L$46, 33, FALSE)</f>
        <v>5.1836734693877551</v>
      </c>
      <c r="V3" s="272">
        <f ca="1">HLOOKUP($B3, 'J-Class_CC_Filtered'!$G$5:$L$46, 34, FALSE)</f>
        <v>543886.97017268441</v>
      </c>
      <c r="W3" s="272">
        <f ca="1">1-HLOOKUP($B3, 'J-Class_CC_Filtered'!$G$5:$L$46, 38, FALSE)</f>
        <v>0.9708</v>
      </c>
      <c r="X3" s="272">
        <f ca="1">HLOOKUP($B3, 'J-Class_CC_Filtered'!$G$5:$L$46, 16, FALSE)</f>
        <v>7180</v>
      </c>
      <c r="Y3" s="272">
        <f ca="1">HLOOKUP($B3, 'J-Class_CC_Filtered'!$G$5:$L$46, 17, FALSE)</f>
        <v>7530</v>
      </c>
      <c r="Z3" s="272">
        <f ca="1">HLOOKUP($B3, 'J-Class_CC_Filtered'!$G$5:$L$46, 8, FALSE)</f>
        <v>232.3</v>
      </c>
      <c r="AA3" s="272">
        <f ca="1">HLOOKUP($B3, 'J-Class_CC_Filtered'!$G$5:$L$46, 9, FALSE)</f>
        <v>199.3</v>
      </c>
    </row>
    <row r="4" spans="1:27" x14ac:dyDescent="0.2">
      <c r="A4" s="10" t="s">
        <v>56</v>
      </c>
      <c r="B4" s="46" t="s">
        <v>22</v>
      </c>
      <c r="C4" s="51">
        <f ca="1">HLOOKUP($B4, 'J-Class_CC_Filtered'!$G$5:$L$46, 12, FALSE)</f>
        <v>6360</v>
      </c>
      <c r="D4" s="51">
        <f ca="1">HLOOKUP($B4, 'J-Class_CC_Filtered'!$G$5:$L$46, 13, FALSE)</f>
        <v>6350</v>
      </c>
      <c r="E4" s="272">
        <f ca="1">HLOOKUP($B4, 'J-Class_CC_Filtered'!$G$5:$L$46, 40, FALSE)</f>
        <v>1.55</v>
      </c>
      <c r="F4" s="272">
        <f ca="1">HLOOKUP($B4, 'J-Class_CC_Filtered'!$G$5:$L$46, 41, FALSE)</f>
        <v>1.7</v>
      </c>
      <c r="G4" s="272">
        <f ca="1">HLOOKUP($B4, 'J-Class_CC_Filtered'!$G$5:$L$46, 4, FALSE)</f>
        <v>514.70000000000005</v>
      </c>
      <c r="H4" s="272">
        <f ca="1">HLOOKUP($B4, 'J-Class_CC_Filtered'!$G$5:$L$46, 5, FALSE)</f>
        <v>544.79999999999995</v>
      </c>
      <c r="I4" s="272">
        <f>HLOOKUP($B4, 'J-Class_CC_Filtered'!$G$5:$L$46, 37, FALSE)</f>
        <v>3490</v>
      </c>
      <c r="J4" s="272">
        <f ca="1">HLOOKUP($B4, 'J-Class_CC_Filtered'!$G$5:$L$46, 42, FALSE)</f>
        <v>16200</v>
      </c>
      <c r="K4" s="272">
        <f ca="1">HLOOKUP($B4, 'J-Class_CC_Filtered'!$G$5:$L$46, 20, FALSE)</f>
        <v>26.4</v>
      </c>
      <c r="L4" s="272">
        <f ca="1">HLOOKUP($B4, 'J-Class_CC_Filtered'!$G$5:$L$46, 21, FALSE)</f>
        <v>6.7</v>
      </c>
      <c r="M4" s="272">
        <f ca="1">HLOOKUP($B4, 'J-Class_CC_Filtered'!$G$5:$L$46, 22, FALSE)</f>
        <v>404400</v>
      </c>
      <c r="N4" s="272">
        <f ca="1">HLOOKUP($B4, 'J-Class_CC_Filtered'!$G$5:$L$46, 24, FALSE)</f>
        <v>26.358490566037737</v>
      </c>
      <c r="O4" s="272">
        <f ca="1">HLOOKUP($B4, 'J-Class_CC_Filtered'!$G$5:$L$46, 25, FALSE)</f>
        <v>6.6894654088050318</v>
      </c>
      <c r="P4" s="272">
        <f ca="1">HLOOKUP($B4, 'J-Class_CC_Filtered'!$G$5:$L$46, 26, FALSE)</f>
        <v>403764.15094339621</v>
      </c>
      <c r="Q4" s="272">
        <f ca="1">HLOOKUP($B4, 'J-Class_CC_Filtered'!$G$5:$L$46, 28, FALSE)</f>
        <v>96</v>
      </c>
      <c r="R4" s="272">
        <f ca="1">HLOOKUP($B4, 'J-Class_CC_Filtered'!$G$5:$L$46, 29, FALSE)</f>
        <v>5.2</v>
      </c>
      <c r="S4" s="272">
        <f ca="1">HLOOKUP($B4, 'J-Class_CC_Filtered'!$G$5:$L$46, 30, FALSE)</f>
        <v>542400</v>
      </c>
      <c r="T4" s="272">
        <f ca="1">HLOOKUP($B4, 'J-Class_CC_Filtered'!$G$5:$L$46, 32, FALSE)</f>
        <v>95.84905660377359</v>
      </c>
      <c r="U4" s="272">
        <f ca="1">HLOOKUP($B4, 'J-Class_CC_Filtered'!$G$5:$L$46, 33, FALSE)</f>
        <v>5.1918238993710695</v>
      </c>
      <c r="V4" s="272">
        <f ca="1">HLOOKUP($B4, 'J-Class_CC_Filtered'!$G$5:$L$46, 34, FALSE)</f>
        <v>541547.16981132072</v>
      </c>
      <c r="W4" s="272">
        <f ca="1">1-HLOOKUP($B4, 'J-Class_CC_Filtered'!$G$5:$L$46, 38, FALSE)</f>
        <v>0.9708</v>
      </c>
      <c r="X4" s="272">
        <f ca="1">HLOOKUP($B4, 'J-Class_CC_Filtered'!$G$5:$L$46, 16, FALSE)</f>
        <v>7130</v>
      </c>
      <c r="Y4" s="272">
        <f ca="1">HLOOKUP($B4, 'J-Class_CC_Filtered'!$G$5:$L$46, 17, FALSE)</f>
        <v>7550</v>
      </c>
      <c r="Z4" s="272">
        <f ca="1">HLOOKUP($B4, 'J-Class_CC_Filtered'!$G$5:$L$46, 8, FALSE)</f>
        <v>234</v>
      </c>
      <c r="AA4" s="272">
        <f ca="1">HLOOKUP($B4, 'J-Class_CC_Filtered'!$G$5:$L$46, 9, FALSE)</f>
        <v>198.7</v>
      </c>
    </row>
    <row r="5" spans="1:27" x14ac:dyDescent="0.2">
      <c r="A5" s="10" t="s">
        <v>38</v>
      </c>
      <c r="B5" s="46" t="s">
        <v>23</v>
      </c>
      <c r="C5" s="51">
        <f ca="1">HLOOKUP($B5, 'J-Class_CC_Filtered'!$G$5:$L$46, 12, FALSE)</f>
        <v>6360</v>
      </c>
      <c r="D5" s="51">
        <f ca="1">HLOOKUP($B5, 'J-Class_CC_Filtered'!$G$5:$L$46, 13, FALSE)</f>
        <v>6350</v>
      </c>
      <c r="E5" s="272">
        <f ca="1">HLOOKUP($B5, 'J-Class_CC_Filtered'!$G$5:$L$46, 40, FALSE)</f>
        <v>1.55</v>
      </c>
      <c r="F5" s="272">
        <f ca="1">HLOOKUP($B5, 'J-Class_CC_Filtered'!$G$5:$L$46, 41, FALSE)</f>
        <v>1.7</v>
      </c>
      <c r="G5" s="272">
        <f ca="1">HLOOKUP($B5, 'J-Class_CC_Filtered'!$G$5:$L$46, 4, FALSE)</f>
        <v>514.70000000000005</v>
      </c>
      <c r="H5" s="272">
        <f ca="1">HLOOKUP($B5, 'J-Class_CC_Filtered'!$G$5:$L$46, 5, FALSE)</f>
        <v>544.79999999999995</v>
      </c>
      <c r="I5" s="272">
        <f>HLOOKUP($B5, 'J-Class_CC_Filtered'!$G$5:$L$46, 37, FALSE)</f>
        <v>3490</v>
      </c>
      <c r="J5" s="272">
        <f ca="1">HLOOKUP($B5, 'J-Class_CC_Filtered'!$G$5:$L$46, 42, FALSE)</f>
        <v>16200</v>
      </c>
      <c r="K5" s="272">
        <f ca="1">HLOOKUP($B5, 'J-Class_CC_Filtered'!$G$5:$L$46, 20, FALSE)</f>
        <v>26.4</v>
      </c>
      <c r="L5" s="272">
        <f ca="1">HLOOKUP($B5, 'J-Class_CC_Filtered'!$G$5:$L$46, 21, FALSE)</f>
        <v>6.7</v>
      </c>
      <c r="M5" s="272">
        <f ca="1">HLOOKUP($B5, 'J-Class_CC_Filtered'!$G$5:$L$46, 22, FALSE)</f>
        <v>404400</v>
      </c>
      <c r="N5" s="272">
        <f ca="1">HLOOKUP($B5, 'J-Class_CC_Filtered'!$G$5:$L$46, 24, FALSE)</f>
        <v>26.358490566037737</v>
      </c>
      <c r="O5" s="272">
        <f ca="1">HLOOKUP($B5, 'J-Class_CC_Filtered'!$G$5:$L$46, 25, FALSE)</f>
        <v>6.6894654088050318</v>
      </c>
      <c r="P5" s="272">
        <f ca="1">HLOOKUP($B5, 'J-Class_CC_Filtered'!$G$5:$L$46, 26, FALSE)</f>
        <v>403764.15094339621</v>
      </c>
      <c r="Q5" s="272">
        <f ca="1">HLOOKUP($B5, 'J-Class_CC_Filtered'!$G$5:$L$46, 28, FALSE)</f>
        <v>96</v>
      </c>
      <c r="R5" s="272">
        <f ca="1">HLOOKUP($B5, 'J-Class_CC_Filtered'!$G$5:$L$46, 29, FALSE)</f>
        <v>5.2</v>
      </c>
      <c r="S5" s="272">
        <f ca="1">HLOOKUP($B5, 'J-Class_CC_Filtered'!$G$5:$L$46, 30, FALSE)</f>
        <v>542400</v>
      </c>
      <c r="T5" s="272">
        <f ca="1">HLOOKUP($B5, 'J-Class_CC_Filtered'!$G$5:$L$46, 32, FALSE)</f>
        <v>95.84905660377359</v>
      </c>
      <c r="U5" s="272">
        <f ca="1">HLOOKUP($B5, 'J-Class_CC_Filtered'!$G$5:$L$46, 33, FALSE)</f>
        <v>5.1918238993710695</v>
      </c>
      <c r="V5" s="272">
        <f ca="1">HLOOKUP($B5, 'J-Class_CC_Filtered'!$G$5:$L$46, 34, FALSE)</f>
        <v>541547.16981132072</v>
      </c>
      <c r="W5" s="272">
        <f ca="1">1-HLOOKUP($B5, 'J-Class_CC_Filtered'!$G$5:$L$46, 38, FALSE)</f>
        <v>0.9708</v>
      </c>
      <c r="X5" s="272">
        <f ca="1">HLOOKUP($B5, 'J-Class_CC_Filtered'!$G$5:$L$46, 16, FALSE)</f>
        <v>7130</v>
      </c>
      <c r="Y5" s="272">
        <f ca="1">HLOOKUP($B5, 'J-Class_CC_Filtered'!$G$5:$L$46, 17, FALSE)</f>
        <v>7550</v>
      </c>
      <c r="Z5" s="272">
        <f ca="1">HLOOKUP($B5, 'J-Class_CC_Filtered'!$G$5:$L$46, 8, FALSE)</f>
        <v>234</v>
      </c>
      <c r="AA5" s="272">
        <f ca="1">HLOOKUP($B5, 'J-Class_CC_Filtered'!$G$5:$L$46, 9, FALSE)</f>
        <v>198.7</v>
      </c>
    </row>
    <row r="6" spans="1:27" x14ac:dyDescent="0.2">
      <c r="A6" s="10" t="s">
        <v>32</v>
      </c>
      <c r="B6" s="46" t="s">
        <v>4</v>
      </c>
      <c r="C6" s="51">
        <f ca="1">HLOOKUP($B6, 'J-Class_CC_Filtered'!$G$5:$L$46, 12, FALSE)</f>
        <v>6360</v>
      </c>
      <c r="D6" s="51">
        <f ca="1">HLOOKUP($B6, 'J-Class_CC_Filtered'!$G$5:$L$46, 13, FALSE)</f>
        <v>6360</v>
      </c>
      <c r="E6" s="272">
        <f ca="1">HLOOKUP($B6, 'J-Class_CC_Filtered'!$G$5:$L$46, 40, FALSE)</f>
        <v>1.55</v>
      </c>
      <c r="F6" s="272">
        <f ca="1">HLOOKUP($B6, 'J-Class_CC_Filtered'!$G$5:$L$46, 41, FALSE)</f>
        <v>1.7</v>
      </c>
      <c r="G6" s="272">
        <f ca="1">HLOOKUP($B6, 'J-Class_CC_Filtered'!$G$5:$L$46, 4, FALSE)</f>
        <v>513.29999999999995</v>
      </c>
      <c r="H6" s="272">
        <f ca="1">HLOOKUP($B6, 'J-Class_CC_Filtered'!$G$5:$L$46, 5, FALSE)</f>
        <v>542.1</v>
      </c>
      <c r="I6" s="272">
        <f>HLOOKUP($B6, 'J-Class_CC_Filtered'!$G$5:$L$46, 37, FALSE)</f>
        <v>3490</v>
      </c>
      <c r="J6" s="272">
        <f ca="1">HLOOKUP($B6, 'J-Class_CC_Filtered'!$G$5:$L$46, 42, FALSE)</f>
        <v>16200</v>
      </c>
      <c r="K6" s="272">
        <f ca="1">HLOOKUP($B6, 'J-Class_CC_Filtered'!$G$5:$L$46, 20, FALSE)</f>
        <v>26.4</v>
      </c>
      <c r="L6" s="272">
        <f ca="1">HLOOKUP($B6, 'J-Class_CC_Filtered'!$G$5:$L$46, 21, FALSE)</f>
        <v>6.7</v>
      </c>
      <c r="M6" s="272">
        <f ca="1">HLOOKUP($B6, 'J-Class_CC_Filtered'!$G$5:$L$46, 22, FALSE)</f>
        <v>403200</v>
      </c>
      <c r="N6" s="272">
        <f ca="1">HLOOKUP($B6, 'J-Class_CC_Filtered'!$G$5:$L$46, 24, FALSE)</f>
        <v>26.4</v>
      </c>
      <c r="O6" s="272">
        <f ca="1">HLOOKUP($B6, 'J-Class_CC_Filtered'!$G$5:$L$46, 25, FALSE)</f>
        <v>6.7</v>
      </c>
      <c r="P6" s="272">
        <f ca="1">HLOOKUP($B6, 'J-Class_CC_Filtered'!$G$5:$L$46, 26, FALSE)</f>
        <v>403200</v>
      </c>
      <c r="Q6" s="272">
        <f ca="1">HLOOKUP($B6, 'J-Class_CC_Filtered'!$G$5:$L$46, 28, FALSE)</f>
        <v>96</v>
      </c>
      <c r="R6" s="272">
        <f ca="1">HLOOKUP($B6, 'J-Class_CC_Filtered'!$G$5:$L$46, 29, FALSE)</f>
        <v>5.0999999999999996</v>
      </c>
      <c r="S6" s="272">
        <f ca="1">HLOOKUP($B6, 'J-Class_CC_Filtered'!$G$5:$L$46, 30, FALSE)</f>
        <v>540800</v>
      </c>
      <c r="T6" s="272">
        <f ca="1">HLOOKUP($B6, 'J-Class_CC_Filtered'!$G$5:$L$46, 32, FALSE)</f>
        <v>96</v>
      </c>
      <c r="U6" s="272">
        <f ca="1">HLOOKUP($B6, 'J-Class_CC_Filtered'!$G$5:$L$46, 33, FALSE)</f>
        <v>5.0999999999999996</v>
      </c>
      <c r="V6" s="272">
        <f ca="1">HLOOKUP($B6, 'J-Class_CC_Filtered'!$G$5:$L$46, 34, FALSE)</f>
        <v>540800</v>
      </c>
      <c r="W6" s="272">
        <f ca="1">1-HLOOKUP($B6, 'J-Class_CC_Filtered'!$G$5:$L$46, 38, FALSE)</f>
        <v>0.9708</v>
      </c>
      <c r="X6" s="272">
        <f ca="1">HLOOKUP($B6, 'J-Class_CC_Filtered'!$G$5:$L$46, 16, FALSE)</f>
        <v>7130</v>
      </c>
      <c r="Y6" s="272">
        <f ca="1">HLOOKUP($B6, 'J-Class_CC_Filtered'!$G$5:$L$46, 17, FALSE)</f>
        <v>7560</v>
      </c>
      <c r="Z6" s="272">
        <f ca="1">HLOOKUP($B6, 'J-Class_CC_Filtered'!$G$5:$L$46, 8, FALSE)</f>
        <v>233.4</v>
      </c>
      <c r="AA6" s="272">
        <f ca="1">HLOOKUP($B6, 'J-Class_CC_Filtered'!$G$5:$L$46, 9, FALSE)</f>
        <v>198</v>
      </c>
    </row>
    <row r="7" spans="1:27" x14ac:dyDescent="0.2">
      <c r="A7" s="10" t="s">
        <v>31</v>
      </c>
      <c r="B7" s="46" t="s">
        <v>5</v>
      </c>
      <c r="C7" s="51">
        <f ca="1">HLOOKUP($B7, 'J-Class_CC_Filtered'!$G$5:$L$46, 12, FALSE)</f>
        <v>6370</v>
      </c>
      <c r="D7" s="51">
        <f ca="1">HLOOKUP($B7, 'J-Class_CC_Filtered'!$G$5:$L$46, 13, FALSE)</f>
        <v>6360</v>
      </c>
      <c r="E7" s="272">
        <f ca="1">HLOOKUP($B7, 'J-Class_CC_Filtered'!$G$5:$L$46, 40, FALSE)</f>
        <v>1.55</v>
      </c>
      <c r="F7" s="272">
        <f ca="1">HLOOKUP($B7, 'J-Class_CC_Filtered'!$G$5:$L$46, 41, FALSE)</f>
        <v>1.7</v>
      </c>
      <c r="G7" s="272">
        <f ca="1">HLOOKUP($B7, 'J-Class_CC_Filtered'!$G$5:$L$46, 4, FALSE)</f>
        <v>509.9</v>
      </c>
      <c r="H7" s="272">
        <f ca="1">HLOOKUP($B7, 'J-Class_CC_Filtered'!$G$5:$L$46, 5, FALSE)</f>
        <v>539.20000000000005</v>
      </c>
      <c r="I7" s="272">
        <f>HLOOKUP($B7, 'J-Class_CC_Filtered'!$G$5:$L$46, 37, FALSE)</f>
        <v>3490</v>
      </c>
      <c r="J7" s="272">
        <f ca="1">HLOOKUP($B7, 'J-Class_CC_Filtered'!$G$5:$L$46, 42, FALSE)</f>
        <v>16200</v>
      </c>
      <c r="K7" s="272">
        <f ca="1">HLOOKUP($B7, 'J-Class_CC_Filtered'!$G$5:$L$46, 20, FALSE)</f>
        <v>26.4</v>
      </c>
      <c r="L7" s="272">
        <f ca="1">HLOOKUP($B7, 'J-Class_CC_Filtered'!$G$5:$L$46, 21, FALSE)</f>
        <v>6.6</v>
      </c>
      <c r="M7" s="272">
        <f ca="1">HLOOKUP($B7, 'J-Class_CC_Filtered'!$G$5:$L$46, 22, FALSE)</f>
        <v>393600</v>
      </c>
      <c r="N7" s="272">
        <f ca="1">HLOOKUP($B7, 'J-Class_CC_Filtered'!$G$5:$L$46, 24, FALSE)</f>
        <v>26.358555729984303</v>
      </c>
      <c r="O7" s="272">
        <f ca="1">HLOOKUP($B7, 'J-Class_CC_Filtered'!$G$5:$L$46, 25, FALSE)</f>
        <v>6.5896389324960758</v>
      </c>
      <c r="P7" s="272">
        <f ca="1">HLOOKUP($B7, 'J-Class_CC_Filtered'!$G$5:$L$46, 26, FALSE)</f>
        <v>392982.10361067503</v>
      </c>
      <c r="Q7" s="272">
        <f ca="1">HLOOKUP($B7, 'J-Class_CC_Filtered'!$G$5:$L$46, 28, FALSE)</f>
        <v>96</v>
      </c>
      <c r="R7" s="272">
        <f ca="1">HLOOKUP($B7, 'J-Class_CC_Filtered'!$G$5:$L$46, 29, FALSE)</f>
        <v>5.2</v>
      </c>
      <c r="S7" s="272">
        <f ca="1">HLOOKUP($B7, 'J-Class_CC_Filtered'!$G$5:$L$46, 30, FALSE)</f>
        <v>544000</v>
      </c>
      <c r="T7" s="272">
        <f ca="1">HLOOKUP($B7, 'J-Class_CC_Filtered'!$G$5:$L$46, 32, FALSE)</f>
        <v>95.84929356357928</v>
      </c>
      <c r="U7" s="272">
        <f ca="1">HLOOKUP($B7, 'J-Class_CC_Filtered'!$G$5:$L$46, 33, FALSE)</f>
        <v>5.1918367346938776</v>
      </c>
      <c r="V7" s="272">
        <f ca="1">HLOOKUP($B7, 'J-Class_CC_Filtered'!$G$5:$L$46, 34, FALSE)</f>
        <v>543145.99686028261</v>
      </c>
      <c r="W7" s="272">
        <f ca="1">1-HLOOKUP($B7, 'J-Class_CC_Filtered'!$G$5:$L$46, 38, FALSE)</f>
        <v>0.9708</v>
      </c>
      <c r="X7" s="272">
        <f ca="1">HLOOKUP($B7, 'J-Class_CC_Filtered'!$G$5:$L$46, 16, FALSE)</f>
        <v>7130</v>
      </c>
      <c r="Y7" s="272">
        <f ca="1">HLOOKUP($B7, 'J-Class_CC_Filtered'!$G$5:$L$46, 17, FALSE)</f>
        <v>7570</v>
      </c>
      <c r="Z7" s="272">
        <f ca="1">HLOOKUP($B7, 'J-Class_CC_Filtered'!$G$5:$L$46, 8, FALSE)</f>
        <v>232.1</v>
      </c>
      <c r="AA7" s="272">
        <f ca="1">HLOOKUP($B7, 'J-Class_CC_Filtered'!$G$5:$L$46, 9, FALSE)</f>
        <v>197</v>
      </c>
    </row>
  </sheetData>
  <pageMargins left="0.7" right="0.7" top="0.75" bottom="0.75" header="0.3" footer="0.3"/>
  <pageSetup scale="59" fitToWidth="2"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13" s="59" customFormat="1" ht="12.75" hidden="1" customHeight="1" outlineLevel="1" x14ac:dyDescent="0.2">
      <c r="H1" s="59" t="s">
        <v>60</v>
      </c>
      <c r="I1" s="59" t="s">
        <v>61</v>
      </c>
      <c r="J1" s="59" t="s">
        <v>62</v>
      </c>
      <c r="K1" s="59" t="s">
        <v>63</v>
      </c>
      <c r="L1" s="59" t="s">
        <v>64</v>
      </c>
      <c r="M1" s="59" t="s">
        <v>65</v>
      </c>
    </row>
    <row r="2" spans="1:13" s="59" customFormat="1" ht="12.75" hidden="1" customHeight="1" outlineLevel="1" x14ac:dyDescent="0.2">
      <c r="H2" s="59">
        <f>MATCH(H1, '[2]1x HA.02 25ppm'!$B$6:$H$6)</f>
        <v>7</v>
      </c>
      <c r="I2" s="59">
        <f>MATCH(I1, '[2]1x HA.02 25ppm'!$B$6:$H$6)</f>
        <v>6</v>
      </c>
      <c r="J2" s="59">
        <f>MATCH(J1, '[2]1x HA.02 25ppm'!$B$6:$H$6)</f>
        <v>4</v>
      </c>
      <c r="K2" s="59">
        <f>MATCH(K1, '[2]1x HA.02 25ppm'!$B$6:$H$6)</f>
        <v>5</v>
      </c>
      <c r="L2" s="59">
        <f>MATCH(L1, '[2]1x HA.02 25ppm'!$B$6:$H$6)</f>
        <v>3</v>
      </c>
      <c r="M2" s="59">
        <f>MATCH(M1, '[2]1x HA.02 25ppm'!$B$6:$H$6)</f>
        <v>2</v>
      </c>
    </row>
    <row r="3" spans="1:13" ht="13.5" collapsed="1" thickBot="1" x14ac:dyDescent="0.25"/>
    <row r="4" spans="1:13" ht="14.25" x14ac:dyDescent="0.2">
      <c r="A4" s="60" t="s">
        <v>75</v>
      </c>
      <c r="B4" s="59" t="s">
        <v>276</v>
      </c>
      <c r="F4" s="11"/>
      <c r="G4" s="12"/>
      <c r="H4" s="297" t="s">
        <v>357</v>
      </c>
      <c r="I4" s="298"/>
      <c r="J4" s="298"/>
      <c r="K4" s="298"/>
      <c r="L4" s="298"/>
      <c r="M4" s="299"/>
    </row>
    <row r="5" spans="1:13" ht="26.25" thickBot="1" x14ac:dyDescent="0.25">
      <c r="F5" s="3" t="s">
        <v>0</v>
      </c>
      <c r="G5" s="2" t="s">
        <v>1</v>
      </c>
      <c r="H5" s="13" t="s">
        <v>3</v>
      </c>
      <c r="I5" s="13" t="s">
        <v>30</v>
      </c>
      <c r="J5" s="13" t="s">
        <v>22</v>
      </c>
      <c r="K5" s="14" t="s">
        <v>23</v>
      </c>
      <c r="L5" s="13" t="s">
        <v>4</v>
      </c>
      <c r="M5" s="15" t="s">
        <v>5</v>
      </c>
    </row>
    <row r="6" spans="1:13" ht="25.5" customHeight="1" x14ac:dyDescent="0.2">
      <c r="A6" s="189" t="s">
        <v>197</v>
      </c>
      <c r="B6" s="189" t="s">
        <v>198</v>
      </c>
      <c r="C6" s="189" t="s">
        <v>199</v>
      </c>
      <c r="D6" s="189"/>
      <c r="F6" s="4" t="s">
        <v>13</v>
      </c>
      <c r="G6" s="1"/>
      <c r="H6" s="300"/>
      <c r="I6" s="301"/>
      <c r="J6" s="301"/>
      <c r="K6" s="301"/>
      <c r="L6" s="301"/>
      <c r="M6" s="302"/>
    </row>
    <row r="7" spans="1:13" x14ac:dyDescent="0.2">
      <c r="F7" s="5" t="s">
        <v>66</v>
      </c>
      <c r="G7" s="1"/>
      <c r="H7" s="16"/>
      <c r="I7" s="17"/>
      <c r="J7" s="17"/>
      <c r="K7" s="18"/>
      <c r="L7" s="17"/>
      <c r="M7" s="19"/>
    </row>
    <row r="8" spans="1:13" x14ac:dyDescent="0.2">
      <c r="A8" s="59">
        <v>32</v>
      </c>
      <c r="B8" s="59">
        <v>40</v>
      </c>
      <c r="C8" s="59" t="s">
        <v>67</v>
      </c>
      <c r="F8" s="20" t="s">
        <v>69</v>
      </c>
      <c r="G8" s="8" t="s">
        <v>2</v>
      </c>
      <c r="H8" s="37">
        <f ca="1">VLOOKUP($C8, INDIRECT("'"&amp;$B$4&amp;"'!$B$"&amp;$A8&amp;":"&amp;"$H$"&amp;$B8), H$2, FALSE)/1000</f>
        <v>166.1</v>
      </c>
      <c r="I8" s="38">
        <f t="shared" ref="I8:M9" ca="1" si="0">VLOOKUP($C8, INDIRECT("'"&amp;$B$4&amp;"'!$B$"&amp;$A8&amp;":"&amp;"$H$"&amp;$B8), I$2, FALSE)/1000</f>
        <v>166.4</v>
      </c>
      <c r="J8" s="38">
        <f t="shared" ca="1" si="0"/>
        <v>165.9</v>
      </c>
      <c r="K8" s="38">
        <f t="shared" ca="1" si="0"/>
        <v>165.9</v>
      </c>
      <c r="L8" s="38">
        <f t="shared" ca="1" si="0"/>
        <v>166.3</v>
      </c>
      <c r="M8" s="39">
        <f t="shared" ca="1" si="0"/>
        <v>166.3</v>
      </c>
    </row>
    <row r="9" spans="1:13" x14ac:dyDescent="0.2">
      <c r="A9" s="59">
        <v>44</v>
      </c>
      <c r="B9" s="59">
        <v>52</v>
      </c>
      <c r="C9" s="59" t="s">
        <v>67</v>
      </c>
      <c r="F9" s="20" t="s">
        <v>70</v>
      </c>
      <c r="G9" s="8" t="s">
        <v>2</v>
      </c>
      <c r="H9" s="37">
        <f t="shared" ref="H9" ca="1" si="1">VLOOKUP($C9, INDIRECT("'"&amp;$B$4&amp;"'!$B$"&amp;$A9&amp;":"&amp;"$H$"&amp;$B9), H$2, FALSE)/1000</f>
        <v>188.2</v>
      </c>
      <c r="I9" s="38">
        <f t="shared" ca="1" si="0"/>
        <v>188.2</v>
      </c>
      <c r="J9" s="38">
        <f t="shared" ca="1" si="0"/>
        <v>188.2</v>
      </c>
      <c r="K9" s="38">
        <f t="shared" ca="1" si="0"/>
        <v>188.2</v>
      </c>
      <c r="L9" s="38">
        <f t="shared" ca="1" si="0"/>
        <v>188.2</v>
      </c>
      <c r="M9" s="39">
        <f t="shared" ca="1" si="0"/>
        <v>188.2</v>
      </c>
    </row>
    <row r="10" spans="1:13" x14ac:dyDescent="0.2">
      <c r="F10" s="20"/>
      <c r="G10" s="8"/>
      <c r="H10" s="37"/>
      <c r="I10" s="38"/>
      <c r="J10" s="38"/>
      <c r="K10" s="38"/>
      <c r="L10" s="38"/>
      <c r="M10" s="39"/>
    </row>
    <row r="11" spans="1:13" x14ac:dyDescent="0.2">
      <c r="F11" s="5" t="s">
        <v>68</v>
      </c>
      <c r="G11" s="8"/>
      <c r="H11" s="7"/>
      <c r="I11" s="8"/>
      <c r="J11" s="8"/>
      <c r="K11" s="8"/>
      <c r="L11" s="8"/>
      <c r="M11" s="9"/>
    </row>
    <row r="12" spans="1:13" x14ac:dyDescent="0.2">
      <c r="A12" s="59">
        <v>32</v>
      </c>
      <c r="B12" s="59">
        <v>40</v>
      </c>
      <c r="C12" s="59" t="s">
        <v>71</v>
      </c>
      <c r="F12" s="20" t="s">
        <v>14</v>
      </c>
      <c r="G12" s="8" t="s">
        <v>11</v>
      </c>
      <c r="H12" s="21">
        <f ca="1">VLOOKUP($C12, INDIRECT("'"&amp;$B$4&amp;"'!$B$"&amp;$A12&amp;":"&amp;"$H$"&amp;$B12), H$2, FALSE)</f>
        <v>9690</v>
      </c>
      <c r="I12" s="22">
        <f t="shared" ref="I12:M13" ca="1" si="2">VLOOKUP($C12, INDIRECT("'"&amp;$B$4&amp;"'!$B$"&amp;$A12&amp;":"&amp;"$H$"&amp;$B12), I$2, FALSE)</f>
        <v>9690</v>
      </c>
      <c r="J12" s="22">
        <f t="shared" ca="1" si="2"/>
        <v>9700</v>
      </c>
      <c r="K12" s="22">
        <f t="shared" ca="1" si="2"/>
        <v>9700</v>
      </c>
      <c r="L12" s="22">
        <f t="shared" ca="1" si="2"/>
        <v>9700</v>
      </c>
      <c r="M12" s="23">
        <f t="shared" ca="1" si="2"/>
        <v>9690</v>
      </c>
    </row>
    <row r="13" spans="1:13" x14ac:dyDescent="0.2">
      <c r="A13" s="59">
        <v>44</v>
      </c>
      <c r="B13" s="59">
        <v>52</v>
      </c>
      <c r="C13" s="59" t="s">
        <v>71</v>
      </c>
      <c r="F13" s="20" t="s">
        <v>15</v>
      </c>
      <c r="G13" s="8" t="s">
        <v>11</v>
      </c>
      <c r="H13" s="21">
        <f ca="1">VLOOKUP($C13, INDIRECT("'"&amp;$B$4&amp;"'!$B$"&amp;$A13&amp;":"&amp;"$H$"&amp;$B13), H$2, FALSE)</f>
        <v>9440</v>
      </c>
      <c r="I13" s="22">
        <f t="shared" ca="1" si="2"/>
        <v>9450</v>
      </c>
      <c r="J13" s="22">
        <f t="shared" ca="1" si="2"/>
        <v>9430</v>
      </c>
      <c r="K13" s="22">
        <f t="shared" ca="1" si="2"/>
        <v>9440</v>
      </c>
      <c r="L13" s="22">
        <f t="shared" ca="1" si="2"/>
        <v>9430</v>
      </c>
      <c r="M13" s="23">
        <f t="shared" ca="1" si="2"/>
        <v>9430</v>
      </c>
    </row>
    <row r="14" spans="1:13" x14ac:dyDescent="0.2">
      <c r="F14" s="20"/>
      <c r="G14" s="8"/>
      <c r="H14" s="21"/>
      <c r="I14" s="22"/>
      <c r="J14" s="22"/>
      <c r="K14" s="22"/>
      <c r="L14" s="22"/>
      <c r="M14" s="23"/>
    </row>
    <row r="15" spans="1:13" x14ac:dyDescent="0.2">
      <c r="F15" s="5" t="s">
        <v>18</v>
      </c>
      <c r="G15" s="24"/>
      <c r="H15" s="7"/>
      <c r="I15" s="8"/>
      <c r="J15" s="8"/>
      <c r="K15" s="8"/>
      <c r="L15" s="8"/>
      <c r="M15" s="9"/>
    </row>
    <row r="16" spans="1:13" ht="14.25" x14ac:dyDescent="0.2">
      <c r="A16" s="59">
        <v>205</v>
      </c>
      <c r="B16" s="59">
        <v>209</v>
      </c>
      <c r="C16" s="59" t="s">
        <v>72</v>
      </c>
      <c r="F16" s="20" t="s">
        <v>27</v>
      </c>
      <c r="G16" s="25" t="s">
        <v>16</v>
      </c>
      <c r="H16" s="190">
        <f ca="1">VLOOKUP($C16, INDIRECT("'"&amp;$B$4&amp;"'!$B$"&amp;$A16&amp;":"&amp;"$H$"&amp;$B16), H$2, FALSE)</f>
        <v>166.8</v>
      </c>
      <c r="I16" s="27">
        <f t="shared" ref="I16:M18" ca="1" si="3">VLOOKUP($C16, INDIRECT("'"&amp;$B$4&amp;"'!$B$"&amp;$A16&amp;":"&amp;"$H$"&amp;$B16), I$2, FALSE)</f>
        <v>166.8</v>
      </c>
      <c r="J16" s="27">
        <f t="shared" ca="1" si="3"/>
        <v>166.8</v>
      </c>
      <c r="K16" s="27">
        <f t="shared" ca="1" si="3"/>
        <v>166.8</v>
      </c>
      <c r="L16" s="27">
        <f t="shared" ca="1" si="3"/>
        <v>166.8</v>
      </c>
      <c r="M16" s="28">
        <f t="shared" ca="1" si="3"/>
        <v>166.8</v>
      </c>
    </row>
    <row r="17" spans="1:13" ht="14.25" x14ac:dyDescent="0.2">
      <c r="A17" s="59">
        <v>205</v>
      </c>
      <c r="B17" s="59">
        <v>209</v>
      </c>
      <c r="C17" s="59" t="s">
        <v>73</v>
      </c>
      <c r="F17" s="20" t="s">
        <v>28</v>
      </c>
      <c r="G17" s="25" t="s">
        <v>16</v>
      </c>
      <c r="H17" s="26">
        <f t="shared" ref="H17:H18" ca="1" si="4">VLOOKUP($C17, INDIRECT("'"&amp;$B$4&amp;"'!$B$"&amp;$A17&amp;":"&amp;"$H$"&amp;$B17), H$2, FALSE)</f>
        <v>3.5</v>
      </c>
      <c r="I17" s="27">
        <f t="shared" ca="1" si="3"/>
        <v>3.5</v>
      </c>
      <c r="J17" s="27">
        <f t="shared" ca="1" si="3"/>
        <v>3.5</v>
      </c>
      <c r="K17" s="27">
        <f t="shared" ca="1" si="3"/>
        <v>3.5</v>
      </c>
      <c r="L17" s="27">
        <f t="shared" ca="1" si="3"/>
        <v>3.5</v>
      </c>
      <c r="M17" s="28">
        <f t="shared" ca="1" si="3"/>
        <v>3.5</v>
      </c>
    </row>
    <row r="18" spans="1:13" ht="14.25" x14ac:dyDescent="0.2">
      <c r="A18" s="59">
        <v>205</v>
      </c>
      <c r="B18" s="59">
        <v>209</v>
      </c>
      <c r="C18" s="59" t="s">
        <v>74</v>
      </c>
      <c r="F18" s="20" t="s">
        <v>29</v>
      </c>
      <c r="G18" s="25" t="s">
        <v>16</v>
      </c>
      <c r="H18" s="21">
        <f t="shared" ca="1" si="4"/>
        <v>208800</v>
      </c>
      <c r="I18" s="22">
        <f t="shared" ca="1" si="3"/>
        <v>208800</v>
      </c>
      <c r="J18" s="22">
        <f t="shared" ca="1" si="3"/>
        <v>208800</v>
      </c>
      <c r="K18" s="22">
        <f t="shared" ca="1" si="3"/>
        <v>208800</v>
      </c>
      <c r="L18" s="22">
        <f t="shared" ca="1" si="3"/>
        <v>208800</v>
      </c>
      <c r="M18" s="23">
        <f t="shared" ca="1" si="3"/>
        <v>208800</v>
      </c>
    </row>
    <row r="19" spans="1:13" x14ac:dyDescent="0.2">
      <c r="F19" s="5" t="s">
        <v>19</v>
      </c>
      <c r="G19" s="24"/>
      <c r="H19" s="29"/>
      <c r="I19" s="24"/>
      <c r="J19" s="24"/>
      <c r="K19" s="24"/>
      <c r="L19" s="24"/>
      <c r="M19" s="30"/>
    </row>
    <row r="20" spans="1:13" ht="14.25" x14ac:dyDescent="0.2">
      <c r="A20" s="59">
        <v>205</v>
      </c>
      <c r="B20" s="59">
        <v>209</v>
      </c>
      <c r="C20" s="59" t="s">
        <v>72</v>
      </c>
      <c r="F20" s="20" t="s">
        <v>27</v>
      </c>
      <c r="G20" s="25" t="s">
        <v>16</v>
      </c>
      <c r="H20" s="26">
        <f t="shared" ref="H20:M22" ca="1" si="5">VLOOKUP($C20, INDIRECT("'"&amp;$B$4&amp;"'!$B$"&amp;$A20&amp;":"&amp;"$H$"&amp;$B20), H$2, FALSE)*H$13/H$12</f>
        <v>162.49659442724459</v>
      </c>
      <c r="I20" s="27">
        <f t="shared" ca="1" si="5"/>
        <v>162.6687306501548</v>
      </c>
      <c r="J20" s="27">
        <f t="shared" ca="1" si="5"/>
        <v>162.15711340206187</v>
      </c>
      <c r="K20" s="27">
        <f t="shared" ca="1" si="5"/>
        <v>162.32907216494846</v>
      </c>
      <c r="L20" s="27">
        <f t="shared" ca="1" si="5"/>
        <v>162.15711340206187</v>
      </c>
      <c r="M20" s="28">
        <f t="shared" ca="1" si="5"/>
        <v>162.32445820433438</v>
      </c>
    </row>
    <row r="21" spans="1:13" ht="14.25" x14ac:dyDescent="0.2">
      <c r="A21" s="59">
        <v>205</v>
      </c>
      <c r="B21" s="59">
        <v>209</v>
      </c>
      <c r="C21" s="59" t="s">
        <v>73</v>
      </c>
      <c r="F21" s="20" t="s">
        <v>28</v>
      </c>
      <c r="G21" s="25" t="s">
        <v>16</v>
      </c>
      <c r="H21" s="26">
        <f t="shared" ca="1" si="5"/>
        <v>3.4097007223942208</v>
      </c>
      <c r="I21" s="27">
        <f t="shared" ca="1" si="5"/>
        <v>3.4133126934984519</v>
      </c>
      <c r="J21" s="27">
        <f t="shared" ca="1" si="5"/>
        <v>3.4025773195876288</v>
      </c>
      <c r="K21" s="27">
        <f t="shared" ca="1" si="5"/>
        <v>3.4061855670103092</v>
      </c>
      <c r="L21" s="27">
        <f t="shared" ca="1" si="5"/>
        <v>3.4025773195876288</v>
      </c>
      <c r="M21" s="28">
        <f t="shared" ca="1" si="5"/>
        <v>3.4060887512899898</v>
      </c>
    </row>
    <row r="22" spans="1:13" ht="14.25" x14ac:dyDescent="0.2">
      <c r="A22" s="59">
        <v>205</v>
      </c>
      <c r="B22" s="59">
        <v>209</v>
      </c>
      <c r="C22" s="59" t="s">
        <v>74</v>
      </c>
      <c r="F22" s="20" t="s">
        <v>29</v>
      </c>
      <c r="G22" s="25" t="s">
        <v>16</v>
      </c>
      <c r="H22" s="21">
        <f t="shared" ca="1" si="5"/>
        <v>203413.00309597523</v>
      </c>
      <c r="I22" s="22">
        <f t="shared" ca="1" si="5"/>
        <v>203628.48297213623</v>
      </c>
      <c r="J22" s="22">
        <f t="shared" ca="1" si="5"/>
        <v>202988.04123711342</v>
      </c>
      <c r="K22" s="22">
        <f t="shared" ca="1" si="5"/>
        <v>203203.29896907217</v>
      </c>
      <c r="L22" s="22">
        <f t="shared" ca="1" si="5"/>
        <v>202988.04123711342</v>
      </c>
      <c r="M22" s="23">
        <f t="shared" ca="1" si="5"/>
        <v>203197.52321981423</v>
      </c>
    </row>
    <row r="23" spans="1:13" x14ac:dyDescent="0.2">
      <c r="F23" s="5" t="s">
        <v>325</v>
      </c>
      <c r="G23" s="24"/>
      <c r="H23" s="21"/>
      <c r="I23" s="22"/>
      <c r="J23" s="22"/>
      <c r="K23" s="22"/>
      <c r="L23" s="22"/>
      <c r="M23" s="23"/>
    </row>
    <row r="24" spans="1:13" ht="14.25" x14ac:dyDescent="0.2">
      <c r="A24" s="59">
        <v>219</v>
      </c>
      <c r="B24" s="59">
        <v>223</v>
      </c>
      <c r="C24" s="59" t="s">
        <v>72</v>
      </c>
      <c r="F24" s="20" t="s">
        <v>27</v>
      </c>
      <c r="G24" s="25" t="s">
        <v>16</v>
      </c>
      <c r="H24" s="26">
        <f ca="1">VLOOKUP($C24, INDIRECT("'"&amp;$B$4&amp;"'!$B$"&amp;$A24&amp;":"&amp;"$H$"&amp;$B24), H$2, FALSE)</f>
        <v>278</v>
      </c>
      <c r="I24" s="27">
        <f t="shared" ref="I24:M26" ca="1" si="6">VLOOKUP($C24, INDIRECT("'"&amp;$B$4&amp;"'!$B$"&amp;$A24&amp;":"&amp;"$H$"&amp;$B24), I$2, FALSE)</f>
        <v>278</v>
      </c>
      <c r="J24" s="27">
        <f t="shared" ca="1" si="6"/>
        <v>278</v>
      </c>
      <c r="K24" s="27">
        <f t="shared" ca="1" si="6"/>
        <v>278</v>
      </c>
      <c r="L24" s="27">
        <f t="shared" ca="1" si="6"/>
        <v>278</v>
      </c>
      <c r="M24" s="28">
        <f t="shared" ca="1" si="6"/>
        <v>278</v>
      </c>
    </row>
    <row r="25" spans="1:13" ht="14.25" x14ac:dyDescent="0.2">
      <c r="A25" s="59">
        <v>219</v>
      </c>
      <c r="B25" s="59">
        <v>223</v>
      </c>
      <c r="C25" s="59" t="s">
        <v>73</v>
      </c>
      <c r="F25" s="20" t="s">
        <v>28</v>
      </c>
      <c r="G25" s="25" t="s">
        <v>16</v>
      </c>
      <c r="H25" s="26">
        <f t="shared" ref="H25:H26" ca="1" si="7">VLOOKUP($C25, INDIRECT("'"&amp;$B$4&amp;"'!$B$"&amp;$A25&amp;":"&amp;"$H$"&amp;$B25), H$2, FALSE)</f>
        <v>2.6</v>
      </c>
      <c r="I25" s="27">
        <f t="shared" ca="1" si="6"/>
        <v>2.6</v>
      </c>
      <c r="J25" s="27">
        <f t="shared" ca="1" si="6"/>
        <v>2.6</v>
      </c>
      <c r="K25" s="27">
        <f t="shared" ca="1" si="6"/>
        <v>2.6</v>
      </c>
      <c r="L25" s="27">
        <f t="shared" ca="1" si="6"/>
        <v>2.6</v>
      </c>
      <c r="M25" s="28">
        <f t="shared" ca="1" si="6"/>
        <v>2.6</v>
      </c>
    </row>
    <row r="26" spans="1:13" ht="14.25" x14ac:dyDescent="0.2">
      <c r="A26" s="59">
        <v>219</v>
      </c>
      <c r="B26" s="59">
        <v>223</v>
      </c>
      <c r="C26" s="59" t="s">
        <v>74</v>
      </c>
      <c r="F26" s="20" t="s">
        <v>29</v>
      </c>
      <c r="G26" s="25" t="s">
        <v>16</v>
      </c>
      <c r="H26" s="21">
        <f t="shared" ca="1" si="7"/>
        <v>278400</v>
      </c>
      <c r="I26" s="22">
        <f t="shared" ca="1" si="6"/>
        <v>278400</v>
      </c>
      <c r="J26" s="22">
        <f t="shared" ca="1" si="6"/>
        <v>278400</v>
      </c>
      <c r="K26" s="22">
        <f t="shared" ca="1" si="6"/>
        <v>278400</v>
      </c>
      <c r="L26" s="22">
        <f t="shared" ca="1" si="6"/>
        <v>278400</v>
      </c>
      <c r="M26" s="23">
        <f t="shared" ca="1" si="6"/>
        <v>278400</v>
      </c>
    </row>
    <row r="27" spans="1:13" x14ac:dyDescent="0.2">
      <c r="F27" s="5" t="s">
        <v>17</v>
      </c>
      <c r="G27" s="24"/>
      <c r="H27" s="29"/>
      <c r="I27" s="24"/>
      <c r="J27" s="24"/>
      <c r="K27" s="24"/>
      <c r="L27" s="24"/>
      <c r="M27" s="30"/>
    </row>
    <row r="28" spans="1:13" ht="14.25" x14ac:dyDescent="0.2">
      <c r="A28" s="59">
        <v>219</v>
      </c>
      <c r="B28" s="59">
        <v>223</v>
      </c>
      <c r="C28" s="59" t="s">
        <v>72</v>
      </c>
      <c r="F28" s="20" t="s">
        <v>27</v>
      </c>
      <c r="G28" s="25" t="s">
        <v>16</v>
      </c>
      <c r="H28" s="26">
        <f t="shared" ref="H28:M30" ca="1" si="8">VLOOKUP($C28, INDIRECT("'"&amp;$B$4&amp;"'!$B$"&amp;$A28&amp;":"&amp;"$H$"&amp;$B28), H$2, FALSE)*H$13/H$12</f>
        <v>270.82765737874098</v>
      </c>
      <c r="I28" s="27">
        <f t="shared" ca="1" si="8"/>
        <v>271.11455108359132</v>
      </c>
      <c r="J28" s="27">
        <f t="shared" ca="1" si="8"/>
        <v>270.2618556701031</v>
      </c>
      <c r="K28" s="27">
        <f t="shared" ca="1" si="8"/>
        <v>270.54845360824743</v>
      </c>
      <c r="L28" s="27">
        <f t="shared" ca="1" si="8"/>
        <v>270.2618556701031</v>
      </c>
      <c r="M28" s="28">
        <f t="shared" ca="1" si="8"/>
        <v>270.54076367389058</v>
      </c>
    </row>
    <row r="29" spans="1:13" ht="14.25" x14ac:dyDescent="0.2">
      <c r="A29" s="59">
        <v>219</v>
      </c>
      <c r="B29" s="59">
        <v>223</v>
      </c>
      <c r="C29" s="59" t="s">
        <v>73</v>
      </c>
      <c r="F29" s="20" t="s">
        <v>28</v>
      </c>
      <c r="G29" s="25" t="s">
        <v>16</v>
      </c>
      <c r="H29" s="26">
        <f t="shared" ca="1" si="8"/>
        <v>2.5329205366357068</v>
      </c>
      <c r="I29" s="27">
        <f t="shared" ca="1" si="8"/>
        <v>2.5356037151702786</v>
      </c>
      <c r="J29" s="27">
        <f t="shared" ca="1" si="8"/>
        <v>2.5276288659793815</v>
      </c>
      <c r="K29" s="27">
        <f t="shared" ca="1" si="8"/>
        <v>2.5303092783505154</v>
      </c>
      <c r="L29" s="27">
        <f t="shared" ca="1" si="8"/>
        <v>2.5276288659793815</v>
      </c>
      <c r="M29" s="28">
        <f t="shared" ca="1" si="8"/>
        <v>2.530237358101135</v>
      </c>
    </row>
    <row r="30" spans="1:13" ht="14.25" x14ac:dyDescent="0.2">
      <c r="A30" s="59">
        <v>219</v>
      </c>
      <c r="B30" s="59">
        <v>223</v>
      </c>
      <c r="C30" s="59" t="s">
        <v>74</v>
      </c>
      <c r="F30" s="20" t="s">
        <v>29</v>
      </c>
      <c r="G30" s="25" t="s">
        <v>16</v>
      </c>
      <c r="H30" s="21">
        <f t="shared" ca="1" si="8"/>
        <v>271217.33746130031</v>
      </c>
      <c r="I30" s="22">
        <f t="shared" ca="1" si="8"/>
        <v>271504.64396284829</v>
      </c>
      <c r="J30" s="22">
        <f t="shared" ca="1" si="8"/>
        <v>270650.72164948453</v>
      </c>
      <c r="K30" s="22">
        <f t="shared" ca="1" si="8"/>
        <v>270937.73195876286</v>
      </c>
      <c r="L30" s="22">
        <f t="shared" ca="1" si="8"/>
        <v>270650.72164948453</v>
      </c>
      <c r="M30" s="23">
        <f t="shared" ca="1" si="8"/>
        <v>270930.03095975233</v>
      </c>
    </row>
    <row r="31" spans="1:13" x14ac:dyDescent="0.2">
      <c r="F31" s="4" t="s">
        <v>21</v>
      </c>
      <c r="G31" s="25"/>
      <c r="H31" s="29"/>
      <c r="I31" s="24"/>
      <c r="J31" s="24"/>
      <c r="K31" s="24"/>
      <c r="L31" s="24"/>
      <c r="M31" s="30"/>
    </row>
    <row r="32" spans="1:13" x14ac:dyDescent="0.2">
      <c r="F32" s="31"/>
      <c r="G32" s="8"/>
      <c r="H32" s="53"/>
      <c r="I32" s="54"/>
      <c r="J32" s="54"/>
      <c r="K32" s="54"/>
      <c r="L32" s="54"/>
      <c r="M32" s="55"/>
    </row>
    <row r="33" spans="1:13" ht="25.5" x14ac:dyDescent="0.2">
      <c r="A33" s="303" t="s">
        <v>354</v>
      </c>
      <c r="B33" s="303"/>
      <c r="C33" s="303"/>
      <c r="D33" s="275"/>
      <c r="F33" s="31" t="s">
        <v>57</v>
      </c>
      <c r="G33" s="8" t="s">
        <v>8</v>
      </c>
      <c r="H33" s="53">
        <v>100</v>
      </c>
      <c r="I33" s="54">
        <v>100</v>
      </c>
      <c r="J33" s="54">
        <v>100</v>
      </c>
      <c r="K33" s="54">
        <v>100</v>
      </c>
      <c r="L33" s="54">
        <v>100</v>
      </c>
      <c r="M33" s="55">
        <v>100</v>
      </c>
    </row>
    <row r="34" spans="1:13" ht="13.5" thickBot="1" x14ac:dyDescent="0.25">
      <c r="A34" s="59">
        <v>16</v>
      </c>
      <c r="B34" s="59">
        <v>16</v>
      </c>
      <c r="C34" s="59" t="s">
        <v>89</v>
      </c>
      <c r="F34" s="32" t="s">
        <v>7</v>
      </c>
      <c r="G34" s="52" t="s">
        <v>12</v>
      </c>
      <c r="H34" s="56">
        <f ca="1">VLOOKUP($C34, INDIRECT("'"&amp;$B$4&amp;"'!$B$"&amp;$A34&amp;":"&amp;"$H$"&amp;$B34), H$2, FALSE)</f>
        <v>0.1003</v>
      </c>
      <c r="I34" s="57">
        <f t="shared" ref="I34:M34" ca="1" si="9">VLOOKUP($C34, INDIRECT("'"&amp;$B$4&amp;"'!$B$"&amp;$A34&amp;":"&amp;"$H$"&amp;$B34), I$2, FALSE)</f>
        <v>0.1003</v>
      </c>
      <c r="J34" s="57">
        <f t="shared" ca="1" si="9"/>
        <v>0.1003</v>
      </c>
      <c r="K34" s="57">
        <f t="shared" ca="1" si="9"/>
        <v>0.1003</v>
      </c>
      <c r="L34" s="57">
        <f t="shared" ca="1" si="9"/>
        <v>0.1003</v>
      </c>
      <c r="M34" s="58">
        <f t="shared" ca="1" si="9"/>
        <v>0.1003</v>
      </c>
    </row>
    <row r="35" spans="1:13" ht="12.75" customHeight="1" x14ac:dyDescent="0.2">
      <c r="F35" s="6" t="s">
        <v>438</v>
      </c>
      <c r="G35" s="24"/>
      <c r="H35" s="34"/>
      <c r="I35" s="35"/>
      <c r="J35" s="35"/>
      <c r="K35" s="35"/>
      <c r="L35" s="35"/>
      <c r="M35" s="36"/>
    </row>
    <row r="36" spans="1:13" x14ac:dyDescent="0.2">
      <c r="A36" s="59">
        <v>184</v>
      </c>
      <c r="B36" s="59">
        <v>187</v>
      </c>
      <c r="C36" s="59" t="s">
        <v>166</v>
      </c>
      <c r="D36" s="59" t="s">
        <v>168</v>
      </c>
      <c r="F36" s="20" t="s">
        <v>24</v>
      </c>
      <c r="G36" s="8" t="s">
        <v>10</v>
      </c>
      <c r="H36" s="191">
        <f ca="1">VLOOKUP($C36, INDIRECT("'"&amp;$B$4&amp;"'!$B$"&amp;$A36&amp;":"&amp;"$H$"&amp;$B36), H$2, FALSE)-VLOOKUP($D36, INDIRECT("'"&amp;$B$4&amp;"'!$B$"&amp;$A36&amp;":"&amp;"$H$"&amp;$B36), H$2, FALSE)</f>
        <v>8.89</v>
      </c>
      <c r="I36" s="41">
        <f t="shared" ref="I36:M36" ca="1" si="10">VLOOKUP($C36, INDIRECT("'"&amp;$B$4&amp;"'!$B$"&amp;$A36&amp;":"&amp;"$H$"&amp;$B36), I$2, FALSE)-VLOOKUP($D36, INDIRECT("'"&amp;$B$4&amp;"'!$B$"&amp;$A36&amp;":"&amp;"$H$"&amp;$B36), I$2, FALSE)</f>
        <v>9.34</v>
      </c>
      <c r="J36" s="41">
        <f t="shared" ca="1" si="10"/>
        <v>9.02</v>
      </c>
      <c r="K36" s="41">
        <f t="shared" ca="1" si="10"/>
        <v>9.02</v>
      </c>
      <c r="L36" s="41">
        <f t="shared" ca="1" si="10"/>
        <v>9.120000000000001</v>
      </c>
      <c r="M36" s="42">
        <f t="shared" ca="1" si="10"/>
        <v>9.25</v>
      </c>
    </row>
    <row r="37" spans="1:13" x14ac:dyDescent="0.2">
      <c r="A37" s="59">
        <v>190</v>
      </c>
      <c r="B37" s="59">
        <v>193</v>
      </c>
      <c r="C37" s="59" t="s">
        <v>166</v>
      </c>
      <c r="D37" s="59" t="s">
        <v>168</v>
      </c>
      <c r="F37" s="20" t="s">
        <v>25</v>
      </c>
      <c r="G37" s="8" t="s">
        <v>10</v>
      </c>
      <c r="H37" s="40">
        <f t="shared" ref="H37:M37" ca="1" si="11">VLOOKUP($C37, INDIRECT("'"&amp;$B$4&amp;"'!$B$"&amp;$A37&amp;":"&amp;"$H$"&amp;$B37), H$2, FALSE)-VLOOKUP($D37, INDIRECT("'"&amp;$B$4&amp;"'!$B$"&amp;$A37&amp;":"&amp;"$H$"&amp;$B37), H$2, FALSE)</f>
        <v>8.76</v>
      </c>
      <c r="I37" s="41">
        <f t="shared" ca="1" si="11"/>
        <v>9.1800000000000015</v>
      </c>
      <c r="J37" s="41">
        <f t="shared" ca="1" si="11"/>
        <v>8.9</v>
      </c>
      <c r="K37" s="41">
        <f t="shared" ca="1" si="11"/>
        <v>8.9</v>
      </c>
      <c r="L37" s="41">
        <f t="shared" ca="1" si="11"/>
        <v>9</v>
      </c>
      <c r="M37" s="42">
        <f t="shared" ca="1" si="11"/>
        <v>9.1999999999999993</v>
      </c>
    </row>
    <row r="38" spans="1:13" x14ac:dyDescent="0.2">
      <c r="A38" s="59">
        <v>177</v>
      </c>
      <c r="B38" s="59">
        <v>180</v>
      </c>
      <c r="C38" s="59" t="s">
        <v>162</v>
      </c>
      <c r="F38" s="20" t="s">
        <v>439</v>
      </c>
      <c r="G38" s="8" t="s">
        <v>440</v>
      </c>
      <c r="H38" s="40">
        <f ca="1">VLOOKUP($C38, INDIRECT("'"&amp;$B$4&amp;"'!$B$"&amp;$A38&amp;":"&amp;"$H$"&amp;$B38), H$2, FALSE)*3</f>
        <v>570</v>
      </c>
      <c r="I38" s="41">
        <f t="shared" ref="I38:M38" ca="1" si="12">VLOOKUP($C38, INDIRECT("'"&amp;$B$4&amp;"'!$B$"&amp;$A38&amp;":"&amp;"$H$"&amp;$B38), I$2, FALSE)*3</f>
        <v>570</v>
      </c>
      <c r="J38" s="41">
        <f t="shared" ca="1" si="12"/>
        <v>570</v>
      </c>
      <c r="K38" s="41">
        <f t="shared" ca="1" si="12"/>
        <v>570</v>
      </c>
      <c r="L38" s="41">
        <f t="shared" ca="1" si="12"/>
        <v>570</v>
      </c>
      <c r="M38" s="42">
        <f t="shared" ca="1" si="12"/>
        <v>570</v>
      </c>
    </row>
    <row r="39" spans="1:13" ht="13.5" thickBot="1" x14ac:dyDescent="0.25">
      <c r="A39" s="59">
        <v>177</v>
      </c>
      <c r="B39" s="59">
        <v>180</v>
      </c>
      <c r="C39" s="59" t="s">
        <v>163</v>
      </c>
      <c r="F39" s="32" t="s">
        <v>441</v>
      </c>
      <c r="G39" s="33" t="s">
        <v>9</v>
      </c>
      <c r="H39" s="43" t="str">
        <f t="shared" ref="H39:M39" ca="1" si="13">VLOOKUP($C39, INDIRECT("'"&amp;$B$4&amp;"'!$B$"&amp;$A39&amp;":"&amp;"$H$"&amp;$B39), H$2, FALSE)</f>
        <v>N/A</v>
      </c>
      <c r="I39" s="44" t="str">
        <f t="shared" ca="1" si="13"/>
        <v>N/A</v>
      </c>
      <c r="J39" s="44" t="str">
        <f t="shared" ca="1" si="13"/>
        <v>N/A</v>
      </c>
      <c r="K39" s="44" t="str">
        <f t="shared" ca="1" si="13"/>
        <v>N/A</v>
      </c>
      <c r="L39" s="44" t="str">
        <f t="shared" ca="1" si="13"/>
        <v>N/A</v>
      </c>
      <c r="M39" s="45" t="str">
        <f t="shared" ca="1" si="13"/>
        <v>N/A</v>
      </c>
    </row>
    <row r="41" spans="1:13" x14ac:dyDescent="0.2">
      <c r="F41" s="10" t="s">
        <v>442</v>
      </c>
    </row>
  </sheetData>
  <mergeCells count="3">
    <mergeCell ref="H4:M4"/>
    <mergeCell ref="H6:M6"/>
    <mergeCell ref="A33:C3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2" s="59" customFormat="1" hidden="1" outlineLevel="1" x14ac:dyDescent="0.2">
      <c r="G1" s="59" t="s">
        <v>60</v>
      </c>
      <c r="H1" s="59" t="s">
        <v>61</v>
      </c>
      <c r="I1" s="59" t="s">
        <v>62</v>
      </c>
      <c r="J1" s="59" t="s">
        <v>63</v>
      </c>
      <c r="K1" s="59" t="s">
        <v>64</v>
      </c>
      <c r="L1" s="59" t="s">
        <v>65</v>
      </c>
    </row>
    <row r="2" spans="1:12" s="59" customFormat="1" hidden="1" outlineLevel="1" x14ac:dyDescent="0.2">
      <c r="G2" s="59">
        <f>MATCH(G1, '[2]1x HA.02 25ppm'!$B$6:$H$6)</f>
        <v>7</v>
      </c>
      <c r="H2" s="59">
        <f>MATCH(H1, '[2]1x HA.02 25ppm'!$B$6:$H$6)</f>
        <v>6</v>
      </c>
      <c r="I2" s="59">
        <f>MATCH(I1, '[2]1x HA.02 25ppm'!$B$6:$H$6)</f>
        <v>4</v>
      </c>
      <c r="J2" s="59">
        <f>MATCH(J1, '[2]1x HA.02 25ppm'!$B$6:$H$6)</f>
        <v>5</v>
      </c>
      <c r="K2" s="59">
        <f>MATCH(K1, '[2]1x HA.02 25ppm'!$B$6:$H$6)</f>
        <v>3</v>
      </c>
      <c r="L2" s="59">
        <f>MATCH(L1, '[2]1x HA.02 25ppm'!$B$6:$H$6)</f>
        <v>2</v>
      </c>
    </row>
    <row r="3" spans="1:12" ht="13.5" collapsed="1" thickBot="1" x14ac:dyDescent="0.25"/>
    <row r="4" spans="1:12" ht="14.25" x14ac:dyDescent="0.2">
      <c r="A4" s="60" t="s">
        <v>75</v>
      </c>
      <c r="B4" s="59" t="s">
        <v>276</v>
      </c>
      <c r="E4" s="11"/>
      <c r="F4" s="12"/>
      <c r="G4" s="297" t="s">
        <v>398</v>
      </c>
      <c r="H4" s="298"/>
      <c r="I4" s="298"/>
      <c r="J4" s="298"/>
      <c r="K4" s="298"/>
      <c r="L4" s="299"/>
    </row>
    <row r="5" spans="1:12" ht="26.25" thickBot="1" x14ac:dyDescent="0.25">
      <c r="E5" s="3" t="s">
        <v>0</v>
      </c>
      <c r="F5" s="2" t="s">
        <v>1</v>
      </c>
      <c r="G5" s="13" t="s">
        <v>3</v>
      </c>
      <c r="H5" s="13" t="s">
        <v>30</v>
      </c>
      <c r="I5" s="13" t="s">
        <v>22</v>
      </c>
      <c r="J5" s="14" t="s">
        <v>23</v>
      </c>
      <c r="K5" s="13" t="s">
        <v>4</v>
      </c>
      <c r="L5" s="15" t="s">
        <v>5</v>
      </c>
    </row>
    <row r="6" spans="1:12" ht="25.5" customHeight="1" x14ac:dyDescent="0.2">
      <c r="A6" s="189" t="s">
        <v>197</v>
      </c>
      <c r="B6" s="189" t="s">
        <v>198</v>
      </c>
      <c r="C6" s="189" t="s">
        <v>199</v>
      </c>
      <c r="E6" s="4" t="s">
        <v>13</v>
      </c>
      <c r="F6" s="1"/>
      <c r="G6" s="304"/>
      <c r="H6" s="305"/>
      <c r="I6" s="305"/>
      <c r="J6" s="305"/>
      <c r="K6" s="305"/>
      <c r="L6" s="306"/>
    </row>
    <row r="7" spans="1:12" x14ac:dyDescent="0.2">
      <c r="E7" s="5" t="s">
        <v>66</v>
      </c>
      <c r="F7" s="1"/>
      <c r="G7" s="16"/>
      <c r="H7" s="17"/>
      <c r="I7" s="17"/>
      <c r="J7" s="18"/>
      <c r="K7" s="17"/>
      <c r="L7" s="19"/>
    </row>
    <row r="8" spans="1:12" x14ac:dyDescent="0.2">
      <c r="A8" s="59">
        <v>32</v>
      </c>
      <c r="B8" s="59">
        <v>40</v>
      </c>
      <c r="C8" s="59" t="s">
        <v>67</v>
      </c>
      <c r="E8" s="20" t="s">
        <v>69</v>
      </c>
      <c r="F8" s="8" t="s">
        <v>2</v>
      </c>
      <c r="G8" s="37">
        <f ca="1">VLOOKUP($C8, INDIRECT("'"&amp;$B$4&amp;"'!$B$"&amp;$A8&amp;":"&amp;"$H$"&amp;$B8), G$2, FALSE)/1000</f>
        <v>166.1</v>
      </c>
      <c r="H8" s="38">
        <f t="shared" ref="H8:L9" ca="1" si="0">VLOOKUP($C8, INDIRECT("'"&amp;$B$4&amp;"'!$B$"&amp;$A8&amp;":"&amp;"$H$"&amp;$B8), H$2, FALSE)/1000</f>
        <v>166.4</v>
      </c>
      <c r="I8" s="38">
        <f t="shared" ca="1" si="0"/>
        <v>165.9</v>
      </c>
      <c r="J8" s="38">
        <f t="shared" ca="1" si="0"/>
        <v>165.9</v>
      </c>
      <c r="K8" s="38">
        <f t="shared" ca="1" si="0"/>
        <v>166.3</v>
      </c>
      <c r="L8" s="39">
        <f t="shared" ca="1" si="0"/>
        <v>166.3</v>
      </c>
    </row>
    <row r="9" spans="1:12" x14ac:dyDescent="0.2">
      <c r="A9" s="59">
        <v>44</v>
      </c>
      <c r="B9" s="59">
        <v>52</v>
      </c>
      <c r="C9" s="59" t="s">
        <v>67</v>
      </c>
      <c r="E9" s="20" t="s">
        <v>70</v>
      </c>
      <c r="F9" s="8" t="s">
        <v>2</v>
      </c>
      <c r="G9" s="37">
        <f t="shared" ref="G9" ca="1" si="1">VLOOKUP($C9, INDIRECT("'"&amp;$B$4&amp;"'!$B$"&amp;$A9&amp;":"&amp;"$H$"&amp;$B9), G$2, FALSE)/1000</f>
        <v>188.2</v>
      </c>
      <c r="H9" s="38">
        <f t="shared" ca="1" si="0"/>
        <v>188.2</v>
      </c>
      <c r="I9" s="38">
        <f t="shared" ca="1" si="0"/>
        <v>188.2</v>
      </c>
      <c r="J9" s="38">
        <f t="shared" ca="1" si="0"/>
        <v>188.2</v>
      </c>
      <c r="K9" s="38">
        <f t="shared" ca="1" si="0"/>
        <v>188.2</v>
      </c>
      <c r="L9" s="39">
        <f t="shared" ca="1" si="0"/>
        <v>188.2</v>
      </c>
    </row>
    <row r="10" spans="1:12" x14ac:dyDescent="0.2">
      <c r="E10" s="20"/>
      <c r="F10" s="8"/>
      <c r="G10" s="37"/>
      <c r="H10" s="38"/>
      <c r="I10" s="38"/>
      <c r="J10" s="38"/>
      <c r="K10" s="38"/>
      <c r="L10" s="39"/>
    </row>
    <row r="11" spans="1:12" x14ac:dyDescent="0.2">
      <c r="E11" s="5" t="s">
        <v>68</v>
      </c>
      <c r="F11" s="8"/>
      <c r="G11" s="7"/>
      <c r="H11" s="8"/>
      <c r="I11" s="8"/>
      <c r="J11" s="8"/>
      <c r="K11" s="8"/>
      <c r="L11" s="9"/>
    </row>
    <row r="12" spans="1:12" x14ac:dyDescent="0.2">
      <c r="A12" s="59">
        <v>32</v>
      </c>
      <c r="B12" s="59">
        <v>40</v>
      </c>
      <c r="C12" s="59" t="s">
        <v>71</v>
      </c>
      <c r="E12" s="20" t="s">
        <v>14</v>
      </c>
      <c r="F12" s="8" t="s">
        <v>11</v>
      </c>
      <c r="G12" s="21">
        <f ca="1">VLOOKUP($C12, INDIRECT("'"&amp;$B$4&amp;"'!$B$"&amp;$A12&amp;":"&amp;"$H$"&amp;$B12), G$2, FALSE)</f>
        <v>9690</v>
      </c>
      <c r="H12" s="22">
        <f t="shared" ref="H12:L13" ca="1" si="2">VLOOKUP($C12, INDIRECT("'"&amp;$B$4&amp;"'!$B$"&amp;$A12&amp;":"&amp;"$H$"&amp;$B12), H$2, FALSE)</f>
        <v>9690</v>
      </c>
      <c r="I12" s="22">
        <f t="shared" ca="1" si="2"/>
        <v>9700</v>
      </c>
      <c r="J12" s="22">
        <f t="shared" ca="1" si="2"/>
        <v>9700</v>
      </c>
      <c r="K12" s="22">
        <f t="shared" ca="1" si="2"/>
        <v>9700</v>
      </c>
      <c r="L12" s="23">
        <f t="shared" ca="1" si="2"/>
        <v>9690</v>
      </c>
    </row>
    <row r="13" spans="1:12" x14ac:dyDescent="0.2">
      <c r="A13" s="59">
        <v>44</v>
      </c>
      <c r="B13" s="59">
        <v>52</v>
      </c>
      <c r="C13" s="59" t="s">
        <v>71</v>
      </c>
      <c r="E13" s="20" t="s">
        <v>15</v>
      </c>
      <c r="F13" s="8" t="s">
        <v>11</v>
      </c>
      <c r="G13" s="21">
        <f ca="1">VLOOKUP($C13, INDIRECT("'"&amp;$B$4&amp;"'!$B$"&amp;$A13&amp;":"&amp;"$H$"&amp;$B13), G$2, FALSE)</f>
        <v>9440</v>
      </c>
      <c r="H13" s="22">
        <f t="shared" ca="1" si="2"/>
        <v>9450</v>
      </c>
      <c r="I13" s="22">
        <f t="shared" ca="1" si="2"/>
        <v>9430</v>
      </c>
      <c r="J13" s="22">
        <f t="shared" ca="1" si="2"/>
        <v>9440</v>
      </c>
      <c r="K13" s="22">
        <f t="shared" ca="1" si="2"/>
        <v>9430</v>
      </c>
      <c r="L13" s="23">
        <f t="shared" ca="1" si="2"/>
        <v>9430</v>
      </c>
    </row>
    <row r="14" spans="1:12" x14ac:dyDescent="0.2">
      <c r="E14" s="20"/>
      <c r="F14" s="8"/>
      <c r="G14" s="21"/>
      <c r="H14" s="22"/>
      <c r="I14" s="22"/>
      <c r="J14" s="22"/>
      <c r="K14" s="22"/>
      <c r="L14" s="23"/>
    </row>
    <row r="15" spans="1:12" x14ac:dyDescent="0.2">
      <c r="E15" s="5" t="s">
        <v>18</v>
      </c>
      <c r="F15" s="24"/>
      <c r="G15" s="7"/>
      <c r="H15" s="8"/>
      <c r="I15" s="8"/>
      <c r="J15" s="8"/>
      <c r="K15" s="8"/>
      <c r="L15" s="9"/>
    </row>
    <row r="16" spans="1:12" ht="14.25" x14ac:dyDescent="0.2">
      <c r="A16" s="59">
        <v>211</v>
      </c>
      <c r="B16" s="59">
        <v>215</v>
      </c>
      <c r="C16" s="59" t="s">
        <v>72</v>
      </c>
      <c r="E16" s="20" t="s">
        <v>27</v>
      </c>
      <c r="F16" s="25" t="s">
        <v>16</v>
      </c>
      <c r="G16" s="190">
        <f ca="1">VLOOKUP($C16, INDIRECT("'"&amp;$B$4&amp;"'!$B$"&amp;$A16&amp;":"&amp;"$H$"&amp;$B16), G$2, FALSE)</f>
        <v>13.3</v>
      </c>
      <c r="H16" s="27">
        <f t="shared" ref="H16:L18" ca="1" si="3">VLOOKUP($C16, INDIRECT("'"&amp;$B$4&amp;"'!$B$"&amp;$A16&amp;":"&amp;"$H$"&amp;$B16), H$2, FALSE)</f>
        <v>13.3</v>
      </c>
      <c r="I16" s="27">
        <f t="shared" ca="1" si="3"/>
        <v>13.3</v>
      </c>
      <c r="J16" s="27">
        <f t="shared" ca="1" si="3"/>
        <v>13.3</v>
      </c>
      <c r="K16" s="27">
        <f t="shared" ca="1" si="3"/>
        <v>13.3</v>
      </c>
      <c r="L16" s="28">
        <f t="shared" ca="1" si="3"/>
        <v>13.3</v>
      </c>
    </row>
    <row r="17" spans="1:12" ht="14.25" x14ac:dyDescent="0.2">
      <c r="A17" s="59">
        <v>211</v>
      </c>
      <c r="B17" s="59">
        <v>215</v>
      </c>
      <c r="C17" s="59" t="s">
        <v>73</v>
      </c>
      <c r="E17" s="20" t="s">
        <v>28</v>
      </c>
      <c r="F17" s="25" t="s">
        <v>16</v>
      </c>
      <c r="G17" s="26">
        <f t="shared" ref="G17:G18" ca="1" si="4">VLOOKUP($C17, INDIRECT("'"&amp;$B$4&amp;"'!$B$"&amp;$A17&amp;":"&amp;"$H$"&amp;$B17), G$2, FALSE)</f>
        <v>3.5</v>
      </c>
      <c r="H17" s="27">
        <f t="shared" ca="1" si="3"/>
        <v>3.5</v>
      </c>
      <c r="I17" s="27">
        <f t="shared" ca="1" si="3"/>
        <v>3.5</v>
      </c>
      <c r="J17" s="27">
        <f t="shared" ca="1" si="3"/>
        <v>3.5</v>
      </c>
      <c r="K17" s="27">
        <f t="shared" ca="1" si="3"/>
        <v>3.5</v>
      </c>
      <c r="L17" s="28">
        <f t="shared" ca="1" si="3"/>
        <v>3.5</v>
      </c>
    </row>
    <row r="18" spans="1:12" ht="14.25" x14ac:dyDescent="0.2">
      <c r="A18" s="59">
        <v>211</v>
      </c>
      <c r="B18" s="59">
        <v>215</v>
      </c>
      <c r="C18" s="59" t="s">
        <v>74</v>
      </c>
      <c r="E18" s="20" t="s">
        <v>29</v>
      </c>
      <c r="F18" s="25" t="s">
        <v>16</v>
      </c>
      <c r="G18" s="21">
        <f t="shared" ca="1" si="4"/>
        <v>208800</v>
      </c>
      <c r="H18" s="22">
        <f t="shared" ca="1" si="3"/>
        <v>208800</v>
      </c>
      <c r="I18" s="22">
        <f t="shared" ca="1" si="3"/>
        <v>208800</v>
      </c>
      <c r="J18" s="22">
        <f t="shared" ca="1" si="3"/>
        <v>208800</v>
      </c>
      <c r="K18" s="22">
        <f t="shared" ca="1" si="3"/>
        <v>208800</v>
      </c>
      <c r="L18" s="23">
        <f t="shared" ca="1" si="3"/>
        <v>208800</v>
      </c>
    </row>
    <row r="19" spans="1:12" x14ac:dyDescent="0.2">
      <c r="E19" s="5" t="s">
        <v>19</v>
      </c>
      <c r="F19" s="24"/>
      <c r="G19" s="29"/>
      <c r="H19" s="24"/>
      <c r="I19" s="24"/>
      <c r="J19" s="24"/>
      <c r="K19" s="24"/>
      <c r="L19" s="30"/>
    </row>
    <row r="20" spans="1:12" ht="14.25" x14ac:dyDescent="0.2">
      <c r="A20" s="59">
        <v>211</v>
      </c>
      <c r="B20" s="59">
        <v>215</v>
      </c>
      <c r="C20" s="59" t="s">
        <v>72</v>
      </c>
      <c r="E20" s="20" t="s">
        <v>27</v>
      </c>
      <c r="F20" s="25" t="s">
        <v>16</v>
      </c>
      <c r="G20" s="26">
        <f t="shared" ref="G20:L22" ca="1" si="5">VLOOKUP($C20, INDIRECT("'"&amp;$B$4&amp;"'!$B$"&amp;$A20&amp;":"&amp;"$H$"&amp;$B20), G$2, FALSE)*G$13/G$12</f>
        <v>12.956862745098039</v>
      </c>
      <c r="H20" s="27">
        <f t="shared" ca="1" si="5"/>
        <v>12.970588235294118</v>
      </c>
      <c r="I20" s="27">
        <f t="shared" ca="1" si="5"/>
        <v>12.92979381443299</v>
      </c>
      <c r="J20" s="27">
        <f t="shared" ca="1" si="5"/>
        <v>12.943505154639174</v>
      </c>
      <c r="K20" s="27">
        <f t="shared" ca="1" si="5"/>
        <v>12.92979381443299</v>
      </c>
      <c r="L20" s="28">
        <f t="shared" ca="1" si="5"/>
        <v>12.943137254901961</v>
      </c>
    </row>
    <row r="21" spans="1:12" ht="14.25" x14ac:dyDescent="0.2">
      <c r="A21" s="59">
        <v>211</v>
      </c>
      <c r="B21" s="59">
        <v>215</v>
      </c>
      <c r="C21" s="59" t="s">
        <v>73</v>
      </c>
      <c r="E21" s="20" t="s">
        <v>28</v>
      </c>
      <c r="F21" s="25" t="s">
        <v>16</v>
      </c>
      <c r="G21" s="26">
        <f t="shared" ca="1" si="5"/>
        <v>3.4097007223942208</v>
      </c>
      <c r="H21" s="27">
        <f t="shared" ca="1" si="5"/>
        <v>3.4133126934984519</v>
      </c>
      <c r="I21" s="27">
        <f t="shared" ca="1" si="5"/>
        <v>3.4025773195876288</v>
      </c>
      <c r="J21" s="27">
        <f t="shared" ca="1" si="5"/>
        <v>3.4061855670103092</v>
      </c>
      <c r="K21" s="27">
        <f t="shared" ca="1" si="5"/>
        <v>3.4025773195876288</v>
      </c>
      <c r="L21" s="28">
        <f t="shared" ca="1" si="5"/>
        <v>3.4060887512899898</v>
      </c>
    </row>
    <row r="22" spans="1:12" ht="14.25" x14ac:dyDescent="0.2">
      <c r="A22" s="59">
        <v>211</v>
      </c>
      <c r="B22" s="59">
        <v>215</v>
      </c>
      <c r="C22" s="59" t="s">
        <v>74</v>
      </c>
      <c r="E22" s="20" t="s">
        <v>29</v>
      </c>
      <c r="F22" s="25" t="s">
        <v>16</v>
      </c>
      <c r="G22" s="21">
        <f t="shared" ca="1" si="5"/>
        <v>203413.00309597523</v>
      </c>
      <c r="H22" s="22">
        <f t="shared" ca="1" si="5"/>
        <v>203628.48297213623</v>
      </c>
      <c r="I22" s="22">
        <f t="shared" ca="1" si="5"/>
        <v>202988.04123711342</v>
      </c>
      <c r="J22" s="22">
        <f t="shared" ca="1" si="5"/>
        <v>203203.29896907217</v>
      </c>
      <c r="K22" s="22">
        <f t="shared" ca="1" si="5"/>
        <v>202988.04123711342</v>
      </c>
      <c r="L22" s="23">
        <f t="shared" ca="1" si="5"/>
        <v>203197.52321981423</v>
      </c>
    </row>
    <row r="23" spans="1:12" x14ac:dyDescent="0.2">
      <c r="E23" s="5" t="s">
        <v>325</v>
      </c>
      <c r="F23" s="24"/>
      <c r="G23" s="21"/>
      <c r="H23" s="22"/>
      <c r="I23" s="22"/>
      <c r="J23" s="22"/>
      <c r="K23" s="22"/>
      <c r="L23" s="23"/>
    </row>
    <row r="24" spans="1:12" ht="14.25" x14ac:dyDescent="0.2">
      <c r="A24" s="59">
        <v>226</v>
      </c>
      <c r="B24" s="59">
        <v>229</v>
      </c>
      <c r="C24" s="59" t="s">
        <v>72</v>
      </c>
      <c r="E24" s="20" t="s">
        <v>27</v>
      </c>
      <c r="F24" s="25" t="s">
        <v>16</v>
      </c>
      <c r="G24" s="26">
        <f ca="1">VLOOKUP($C24, INDIRECT("'"&amp;$B$4&amp;"'!$B$"&amp;$A24&amp;":"&amp;"$H$"&amp;$B24), G$2, FALSE)</f>
        <v>41.7</v>
      </c>
      <c r="H24" s="22">
        <f t="shared" ref="H24:L26" ca="1" si="6">VLOOKUP($C24, INDIRECT("'"&amp;$B$4&amp;"'!$B$"&amp;$A24&amp;":"&amp;"$H$"&amp;$B24), H$2, FALSE)</f>
        <v>41.7</v>
      </c>
      <c r="I24" s="22">
        <f t="shared" ca="1" si="6"/>
        <v>41.7</v>
      </c>
      <c r="J24" s="22">
        <f t="shared" ca="1" si="6"/>
        <v>41.7</v>
      </c>
      <c r="K24" s="22">
        <f t="shared" ca="1" si="6"/>
        <v>41.7</v>
      </c>
      <c r="L24" s="23">
        <f t="shared" ca="1" si="6"/>
        <v>41.7</v>
      </c>
    </row>
    <row r="25" spans="1:12" ht="14.25" x14ac:dyDescent="0.2">
      <c r="A25" s="59">
        <v>226</v>
      </c>
      <c r="B25" s="59">
        <v>229</v>
      </c>
      <c r="C25" s="59" t="s">
        <v>73</v>
      </c>
      <c r="E25" s="20" t="s">
        <v>28</v>
      </c>
      <c r="F25" s="25" t="s">
        <v>16</v>
      </c>
      <c r="G25" s="21">
        <f t="shared" ref="G25:G26" ca="1" si="7">VLOOKUP($C25, INDIRECT("'"&amp;$B$4&amp;"'!$B$"&amp;$A25&amp;":"&amp;"$H$"&amp;$B25), G$2, FALSE)</f>
        <v>2.6</v>
      </c>
      <c r="H25" s="22">
        <f t="shared" ca="1" si="6"/>
        <v>2.6</v>
      </c>
      <c r="I25" s="22">
        <f t="shared" ca="1" si="6"/>
        <v>2.6</v>
      </c>
      <c r="J25" s="22">
        <f t="shared" ca="1" si="6"/>
        <v>2.6</v>
      </c>
      <c r="K25" s="22">
        <f t="shared" ca="1" si="6"/>
        <v>2.6</v>
      </c>
      <c r="L25" s="23">
        <f t="shared" ca="1" si="6"/>
        <v>2.6</v>
      </c>
    </row>
    <row r="26" spans="1:12" ht="14.25" x14ac:dyDescent="0.2">
      <c r="A26" s="59">
        <v>226</v>
      </c>
      <c r="B26" s="59">
        <v>229</v>
      </c>
      <c r="C26" s="59" t="s">
        <v>74</v>
      </c>
      <c r="E26" s="20" t="s">
        <v>29</v>
      </c>
      <c r="F26" s="25" t="s">
        <v>16</v>
      </c>
      <c r="G26" s="21">
        <f t="shared" ca="1" si="7"/>
        <v>278400</v>
      </c>
      <c r="H26" s="22">
        <f t="shared" ca="1" si="6"/>
        <v>278400</v>
      </c>
      <c r="I26" s="22">
        <f t="shared" ca="1" si="6"/>
        <v>278400</v>
      </c>
      <c r="J26" s="22">
        <f t="shared" ca="1" si="6"/>
        <v>278400</v>
      </c>
      <c r="K26" s="22">
        <f t="shared" ca="1" si="6"/>
        <v>278400</v>
      </c>
      <c r="L26" s="23">
        <f t="shared" ca="1" si="6"/>
        <v>278400</v>
      </c>
    </row>
    <row r="27" spans="1:12" x14ac:dyDescent="0.2">
      <c r="E27" s="5" t="s">
        <v>17</v>
      </c>
      <c r="F27" s="24"/>
      <c r="G27" s="29"/>
      <c r="H27" s="24"/>
      <c r="I27" s="24"/>
      <c r="J27" s="24"/>
      <c r="K27" s="24"/>
      <c r="L27" s="30"/>
    </row>
    <row r="28" spans="1:12" ht="14.25" x14ac:dyDescent="0.2">
      <c r="A28" s="59">
        <v>226</v>
      </c>
      <c r="B28" s="59">
        <v>229</v>
      </c>
      <c r="C28" s="59" t="s">
        <v>72</v>
      </c>
      <c r="E28" s="20" t="s">
        <v>27</v>
      </c>
      <c r="F28" s="25" t="s">
        <v>16</v>
      </c>
      <c r="G28" s="26">
        <f t="shared" ref="G28:L30" ca="1" si="8">VLOOKUP($C28, INDIRECT("'"&amp;$B$4&amp;"'!$B$"&amp;$A28&amp;":"&amp;"$H$"&amp;$B28), G$2, FALSE)*G$13/G$12</f>
        <v>40.624148606811147</v>
      </c>
      <c r="H28" s="27">
        <f t="shared" ca="1" si="8"/>
        <v>40.6671826625387</v>
      </c>
      <c r="I28" s="27">
        <f t="shared" ca="1" si="8"/>
        <v>40.539278350515467</v>
      </c>
      <c r="J28" s="27">
        <f t="shared" ca="1" si="8"/>
        <v>40.582268041237114</v>
      </c>
      <c r="K28" s="27">
        <f t="shared" ca="1" si="8"/>
        <v>40.539278350515467</v>
      </c>
      <c r="L28" s="28">
        <f t="shared" ca="1" si="8"/>
        <v>40.581114551083594</v>
      </c>
    </row>
    <row r="29" spans="1:12" ht="14.25" x14ac:dyDescent="0.2">
      <c r="A29" s="59">
        <v>226</v>
      </c>
      <c r="B29" s="59">
        <v>229</v>
      </c>
      <c r="C29" s="59" t="s">
        <v>73</v>
      </c>
      <c r="E29" s="20" t="s">
        <v>28</v>
      </c>
      <c r="F29" s="25" t="s">
        <v>16</v>
      </c>
      <c r="G29" s="26">
        <f t="shared" ca="1" si="8"/>
        <v>2.5329205366357068</v>
      </c>
      <c r="H29" s="27">
        <f t="shared" ca="1" si="8"/>
        <v>2.5356037151702786</v>
      </c>
      <c r="I29" s="27">
        <f t="shared" ca="1" si="8"/>
        <v>2.5276288659793815</v>
      </c>
      <c r="J29" s="27">
        <f t="shared" ca="1" si="8"/>
        <v>2.5303092783505154</v>
      </c>
      <c r="K29" s="27">
        <f t="shared" ca="1" si="8"/>
        <v>2.5276288659793815</v>
      </c>
      <c r="L29" s="28">
        <f t="shared" ca="1" si="8"/>
        <v>2.530237358101135</v>
      </c>
    </row>
    <row r="30" spans="1:12" ht="14.25" x14ac:dyDescent="0.2">
      <c r="A30" s="59">
        <v>226</v>
      </c>
      <c r="B30" s="59">
        <v>229</v>
      </c>
      <c r="C30" s="59" t="s">
        <v>74</v>
      </c>
      <c r="E30" s="20" t="s">
        <v>29</v>
      </c>
      <c r="F30" s="25" t="s">
        <v>16</v>
      </c>
      <c r="G30" s="21">
        <f t="shared" ca="1" si="8"/>
        <v>271217.33746130031</v>
      </c>
      <c r="H30" s="22">
        <f t="shared" ca="1" si="8"/>
        <v>271504.64396284829</v>
      </c>
      <c r="I30" s="22">
        <f t="shared" ca="1" si="8"/>
        <v>270650.72164948453</v>
      </c>
      <c r="J30" s="22">
        <f t="shared" ca="1" si="8"/>
        <v>270937.73195876286</v>
      </c>
      <c r="K30" s="22">
        <f t="shared" ca="1" si="8"/>
        <v>270650.72164948453</v>
      </c>
      <c r="L30" s="23">
        <f t="shared" ca="1" si="8"/>
        <v>270930.03095975233</v>
      </c>
    </row>
    <row r="31" spans="1:12" x14ac:dyDescent="0.2">
      <c r="E31" s="4" t="s">
        <v>21</v>
      </c>
      <c r="F31" s="25"/>
      <c r="G31" s="29"/>
      <c r="H31" s="24"/>
      <c r="I31" s="24"/>
      <c r="J31" s="24"/>
      <c r="K31" s="24"/>
      <c r="L31" s="30"/>
    </row>
    <row r="32" spans="1:12" x14ac:dyDescent="0.2">
      <c r="E32" s="31"/>
      <c r="F32" s="8"/>
      <c r="G32" s="53"/>
      <c r="H32" s="54"/>
      <c r="I32" s="54"/>
      <c r="J32" s="54"/>
      <c r="K32" s="54"/>
      <c r="L32" s="55"/>
    </row>
    <row r="33" spans="1:12" ht="25.5" x14ac:dyDescent="0.2">
      <c r="A33" s="303" t="s">
        <v>354</v>
      </c>
      <c r="B33" s="303"/>
      <c r="C33" s="303"/>
      <c r="E33" s="31" t="s">
        <v>57</v>
      </c>
      <c r="F33" s="8" t="s">
        <v>8</v>
      </c>
      <c r="G33" s="53">
        <v>100</v>
      </c>
      <c r="H33" s="54">
        <v>100</v>
      </c>
      <c r="I33" s="54">
        <v>100</v>
      </c>
      <c r="J33" s="54">
        <v>100</v>
      </c>
      <c r="K33" s="54">
        <v>100</v>
      </c>
      <c r="L33" s="55">
        <v>100</v>
      </c>
    </row>
    <row r="34" spans="1:12" ht="13.5" thickBot="1" x14ac:dyDescent="0.25">
      <c r="A34" s="59">
        <v>16</v>
      </c>
      <c r="B34" s="59">
        <v>16</v>
      </c>
      <c r="C34" s="59" t="s">
        <v>89</v>
      </c>
      <c r="E34" s="32" t="s">
        <v>7</v>
      </c>
      <c r="F34" s="52" t="s">
        <v>12</v>
      </c>
      <c r="G34" s="56">
        <f ca="1">VLOOKUP($C34, INDIRECT("'"&amp;$B$4&amp;"'!$B$"&amp;$A34&amp;":"&amp;"$H$"&amp;$B34), G$2, FALSE)</f>
        <v>0.1003</v>
      </c>
      <c r="H34" s="57">
        <f t="shared" ref="H34:L34" ca="1" si="9">VLOOKUP($C34, INDIRECT("'"&amp;$B$4&amp;"'!$B$"&amp;$A34&amp;":"&amp;"$H$"&amp;$B34), H$2, FALSE)</f>
        <v>0.1003</v>
      </c>
      <c r="I34" s="57">
        <f t="shared" ca="1" si="9"/>
        <v>0.1003</v>
      </c>
      <c r="J34" s="57">
        <f t="shared" ca="1" si="9"/>
        <v>0.1003</v>
      </c>
      <c r="K34" s="57">
        <f t="shared" ca="1" si="9"/>
        <v>0.1003</v>
      </c>
      <c r="L34" s="58">
        <f t="shared" ca="1" si="9"/>
        <v>0.1003</v>
      </c>
    </row>
    <row r="35" spans="1:12" ht="12.75" customHeight="1" x14ac:dyDescent="0.2">
      <c r="E35" s="6" t="s">
        <v>438</v>
      </c>
      <c r="F35" s="24"/>
      <c r="G35" s="34"/>
      <c r="H35" s="35"/>
      <c r="I35" s="35"/>
      <c r="J35" s="35"/>
      <c r="K35" s="35"/>
      <c r="L35" s="36"/>
    </row>
    <row r="36" spans="1:12" x14ac:dyDescent="0.2">
      <c r="A36" s="59">
        <v>184</v>
      </c>
      <c r="B36" s="59">
        <v>187</v>
      </c>
      <c r="C36" s="59" t="s">
        <v>166</v>
      </c>
      <c r="E36" s="20" t="s">
        <v>24</v>
      </c>
      <c r="F36" s="8" t="s">
        <v>10</v>
      </c>
      <c r="G36" s="191">
        <f ca="1">VLOOKUP($C36, INDIRECT("'"&amp;$B$4&amp;"'!$B$"&amp;$A36&amp;":"&amp;"$H$"&amp;$B36), G$2, FALSE)</f>
        <v>9.7200000000000006</v>
      </c>
      <c r="H36" s="41">
        <f t="shared" ref="H36:L39" ca="1" si="10">VLOOKUP($C36, INDIRECT("'"&amp;$B$4&amp;"'!$B$"&amp;$A36&amp;":"&amp;"$H$"&amp;$B36), H$2, FALSE)</f>
        <v>10.17</v>
      </c>
      <c r="I36" s="41">
        <f t="shared" ca="1" si="10"/>
        <v>9.85</v>
      </c>
      <c r="J36" s="41">
        <f t="shared" ca="1" si="10"/>
        <v>9.85</v>
      </c>
      <c r="K36" s="41">
        <f t="shared" ca="1" si="10"/>
        <v>9.9500000000000011</v>
      </c>
      <c r="L36" s="42">
        <f t="shared" ca="1" si="10"/>
        <v>10.07</v>
      </c>
    </row>
    <row r="37" spans="1:12" x14ac:dyDescent="0.2">
      <c r="A37" s="59">
        <v>190</v>
      </c>
      <c r="B37" s="59">
        <v>193</v>
      </c>
      <c r="C37" s="59" t="s">
        <v>166</v>
      </c>
      <c r="E37" s="20" t="s">
        <v>25</v>
      </c>
      <c r="F37" s="8" t="s">
        <v>10</v>
      </c>
      <c r="G37" s="40">
        <f t="shared" ref="G37:G39" ca="1" si="11">VLOOKUP($C37, INDIRECT("'"&amp;$B$4&amp;"'!$B$"&amp;$A37&amp;":"&amp;"$H$"&amp;$B37), G$2, FALSE)</f>
        <v>9.7899999999999991</v>
      </c>
      <c r="H37" s="41">
        <f t="shared" ca="1" si="10"/>
        <v>10.210000000000001</v>
      </c>
      <c r="I37" s="41">
        <f t="shared" ca="1" si="10"/>
        <v>9.9</v>
      </c>
      <c r="J37" s="41">
        <f t="shared" ca="1" si="10"/>
        <v>9.9</v>
      </c>
      <c r="K37" s="41">
        <f t="shared" ca="1" si="10"/>
        <v>10</v>
      </c>
      <c r="L37" s="42">
        <f t="shared" ca="1" si="10"/>
        <v>10.199999999999999</v>
      </c>
    </row>
    <row r="38" spans="1:12" x14ac:dyDescent="0.2">
      <c r="A38" s="59">
        <v>177</v>
      </c>
      <c r="B38" s="59">
        <v>180</v>
      </c>
      <c r="C38" s="59" t="s">
        <v>162</v>
      </c>
      <c r="E38" s="20" t="s">
        <v>443</v>
      </c>
      <c r="F38" s="8" t="s">
        <v>440</v>
      </c>
      <c r="G38" s="40">
        <f ca="1">VLOOKUP($C38, INDIRECT("'"&amp;$B$4&amp;"'!$B$"&amp;$A38&amp;":"&amp;"$H$"&amp;$B38), G$2, FALSE)*3</f>
        <v>570</v>
      </c>
      <c r="H38" s="41">
        <f t="shared" ref="H38:L38" ca="1" si="12">VLOOKUP($C38, INDIRECT("'"&amp;$B$4&amp;"'!$B$"&amp;$A38&amp;":"&amp;"$H$"&amp;$B38), H$2, FALSE)*3</f>
        <v>570</v>
      </c>
      <c r="I38" s="41">
        <f t="shared" ca="1" si="12"/>
        <v>570</v>
      </c>
      <c r="J38" s="41">
        <f t="shared" ca="1" si="12"/>
        <v>570</v>
      </c>
      <c r="K38" s="41">
        <f t="shared" ca="1" si="12"/>
        <v>570</v>
      </c>
      <c r="L38" s="42">
        <f t="shared" ca="1" si="12"/>
        <v>570</v>
      </c>
    </row>
    <row r="39" spans="1:12" ht="13.5" thickBot="1" x14ac:dyDescent="0.25">
      <c r="A39" s="59">
        <v>177</v>
      </c>
      <c r="B39" s="59">
        <v>180</v>
      </c>
      <c r="C39" s="59" t="s">
        <v>163</v>
      </c>
      <c r="E39" s="32" t="s">
        <v>441</v>
      </c>
      <c r="F39" s="33" t="s">
        <v>9</v>
      </c>
      <c r="G39" s="43" t="str">
        <f t="shared" ca="1" si="11"/>
        <v>N/A</v>
      </c>
      <c r="H39" s="44" t="str">
        <f t="shared" ca="1" si="10"/>
        <v>N/A</v>
      </c>
      <c r="I39" s="44" t="str">
        <f t="shared" ca="1" si="10"/>
        <v>N/A</v>
      </c>
      <c r="J39" s="44" t="str">
        <f t="shared" ca="1" si="10"/>
        <v>N/A</v>
      </c>
      <c r="K39" s="44" t="str">
        <f t="shared" ca="1" si="10"/>
        <v>N/A</v>
      </c>
      <c r="L39" s="45" t="str">
        <f t="shared" ca="1" si="10"/>
        <v>N/A</v>
      </c>
    </row>
    <row r="41" spans="1:12" x14ac:dyDescent="0.2">
      <c r="E41" s="10" t="s">
        <v>442</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13" s="59" customFormat="1" hidden="1" outlineLevel="1" x14ac:dyDescent="0.2">
      <c r="H1" s="59" t="s">
        <v>60</v>
      </c>
      <c r="I1" s="59" t="s">
        <v>61</v>
      </c>
      <c r="J1" s="59" t="s">
        <v>62</v>
      </c>
      <c r="K1" s="59" t="s">
        <v>63</v>
      </c>
      <c r="L1" s="59" t="s">
        <v>64</v>
      </c>
      <c r="M1" s="59" t="s">
        <v>65</v>
      </c>
    </row>
    <row r="2" spans="1:13" s="59" customFormat="1" hidden="1" outlineLevel="1" x14ac:dyDescent="0.2">
      <c r="H2" s="59">
        <f>MATCH(H1, '[2]1x HA.02 25ppm'!$B$6:$H$6)</f>
        <v>7</v>
      </c>
      <c r="I2" s="59">
        <f>MATCH(I1, '[2]1x HA.02 25ppm'!$B$6:$H$6)</f>
        <v>6</v>
      </c>
      <c r="J2" s="59">
        <f>MATCH(J1, '[2]1x HA.02 25ppm'!$B$6:$H$6)</f>
        <v>4</v>
      </c>
      <c r="K2" s="59">
        <f>MATCH(K1, '[2]1x HA.02 25ppm'!$B$6:$H$6)</f>
        <v>5</v>
      </c>
      <c r="L2" s="59">
        <f>MATCH(L1, '[2]1x HA.02 25ppm'!$B$6:$H$6)</f>
        <v>3</v>
      </c>
      <c r="M2" s="59">
        <f>MATCH(M1, '[2]1x HA.02 25ppm'!$B$6:$H$6)</f>
        <v>2</v>
      </c>
    </row>
    <row r="3" spans="1:13" ht="13.5" collapsed="1" thickBot="1" x14ac:dyDescent="0.25"/>
    <row r="4" spans="1:13" ht="14.25" x14ac:dyDescent="0.2">
      <c r="A4" s="60" t="s">
        <v>75</v>
      </c>
      <c r="B4" s="59" t="s">
        <v>203</v>
      </c>
      <c r="F4" s="11"/>
      <c r="G4" s="12"/>
      <c r="H4" s="297" t="s">
        <v>358</v>
      </c>
      <c r="I4" s="298"/>
      <c r="J4" s="298"/>
      <c r="K4" s="298"/>
      <c r="L4" s="298"/>
      <c r="M4" s="299"/>
    </row>
    <row r="5" spans="1:13" ht="26.25" thickBot="1" x14ac:dyDescent="0.25">
      <c r="F5" s="3" t="s">
        <v>0</v>
      </c>
      <c r="G5" s="2" t="s">
        <v>1</v>
      </c>
      <c r="H5" s="13" t="s">
        <v>3</v>
      </c>
      <c r="I5" s="13" t="s">
        <v>30</v>
      </c>
      <c r="J5" s="13" t="s">
        <v>22</v>
      </c>
      <c r="K5" s="14" t="s">
        <v>23</v>
      </c>
      <c r="L5" s="13" t="s">
        <v>4</v>
      </c>
      <c r="M5" s="15" t="s">
        <v>5</v>
      </c>
    </row>
    <row r="6" spans="1:13" ht="25.5" customHeight="1" x14ac:dyDescent="0.2">
      <c r="A6" s="189" t="s">
        <v>197</v>
      </c>
      <c r="B6" s="189" t="s">
        <v>198</v>
      </c>
      <c r="C6" s="189" t="s">
        <v>278</v>
      </c>
      <c r="D6" s="189" t="s">
        <v>279</v>
      </c>
      <c r="F6" s="4" t="s">
        <v>13</v>
      </c>
      <c r="G6" s="1"/>
      <c r="H6" s="304"/>
      <c r="I6" s="305"/>
      <c r="J6" s="305"/>
      <c r="K6" s="305"/>
      <c r="L6" s="305"/>
      <c r="M6" s="306"/>
    </row>
    <row r="7" spans="1:13" x14ac:dyDescent="0.2">
      <c r="F7" s="5" t="s">
        <v>66</v>
      </c>
      <c r="G7" s="1"/>
      <c r="H7" s="16"/>
      <c r="I7" s="17"/>
      <c r="J7" s="17"/>
      <c r="K7" s="18"/>
      <c r="L7" s="17"/>
      <c r="M7" s="19"/>
    </row>
    <row r="8" spans="1:13" x14ac:dyDescent="0.2">
      <c r="A8" s="59">
        <v>32</v>
      </c>
      <c r="B8" s="59">
        <v>40</v>
      </c>
      <c r="C8" s="59" t="s">
        <v>67</v>
      </c>
      <c r="F8" s="20" t="s">
        <v>69</v>
      </c>
      <c r="G8" s="8" t="s">
        <v>2</v>
      </c>
      <c r="H8" s="37">
        <f t="shared" ref="H8:M9" ca="1" si="0">VLOOKUP($C8, INDIRECT("'"&amp;$B$4&amp;"'!$B$"&amp;$A8&amp;":"&amp;"$H$"&amp;$B8), H$2, FALSE)/1000</f>
        <v>216.7</v>
      </c>
      <c r="I8" s="38">
        <f t="shared" ca="1" si="0"/>
        <v>216.9</v>
      </c>
      <c r="J8" s="38">
        <f t="shared" ca="1" si="0"/>
        <v>215.5</v>
      </c>
      <c r="K8" s="38">
        <f t="shared" ca="1" si="0"/>
        <v>215.4</v>
      </c>
      <c r="L8" s="38">
        <f t="shared" ca="1" si="0"/>
        <v>215.2</v>
      </c>
      <c r="M8" s="39">
        <f t="shared" ca="1" si="0"/>
        <v>214.3</v>
      </c>
    </row>
    <row r="9" spans="1:13" x14ac:dyDescent="0.2">
      <c r="A9" s="59">
        <v>44</v>
      </c>
      <c r="B9" s="59">
        <v>52</v>
      </c>
      <c r="C9" s="59" t="s">
        <v>67</v>
      </c>
      <c r="F9" s="20" t="s">
        <v>70</v>
      </c>
      <c r="G9" s="8" t="s">
        <v>2</v>
      </c>
      <c r="H9" s="37">
        <f t="shared" ca="1" si="0"/>
        <v>227.7</v>
      </c>
      <c r="I9" s="38">
        <f t="shared" ca="1" si="0"/>
        <v>227.3</v>
      </c>
      <c r="J9" s="38">
        <f t="shared" ca="1" si="0"/>
        <v>226.9</v>
      </c>
      <c r="K9" s="38">
        <f t="shared" ca="1" si="0"/>
        <v>226.8</v>
      </c>
      <c r="L9" s="38">
        <f t="shared" ca="1" si="0"/>
        <v>226.5</v>
      </c>
      <c r="M9" s="39">
        <f t="shared" ca="1" si="0"/>
        <v>225.4</v>
      </c>
    </row>
    <row r="10" spans="1:13" x14ac:dyDescent="0.2">
      <c r="F10" s="20"/>
      <c r="G10" s="8"/>
      <c r="H10" s="37"/>
      <c r="I10" s="38"/>
      <c r="J10" s="38"/>
      <c r="K10" s="38"/>
      <c r="L10" s="38"/>
      <c r="M10" s="39"/>
    </row>
    <row r="11" spans="1:13" x14ac:dyDescent="0.2">
      <c r="F11" s="5" t="s">
        <v>68</v>
      </c>
      <c r="G11" s="8"/>
      <c r="H11" s="7"/>
      <c r="I11" s="8"/>
      <c r="J11" s="8"/>
      <c r="K11" s="8"/>
      <c r="L11" s="8"/>
      <c r="M11" s="9"/>
    </row>
    <row r="12" spans="1:13" x14ac:dyDescent="0.2">
      <c r="A12" s="59">
        <v>32</v>
      </c>
      <c r="B12" s="59">
        <v>40</v>
      </c>
      <c r="C12" s="59" t="s">
        <v>71</v>
      </c>
      <c r="F12" s="20" t="s">
        <v>14</v>
      </c>
      <c r="G12" s="8" t="s">
        <v>11</v>
      </c>
      <c r="H12" s="21">
        <f t="shared" ref="H12:M13" ca="1" si="1">VLOOKUP($C12, INDIRECT("'"&amp;$B$4&amp;"'!$B$"&amp;$A12&amp;":"&amp;"$H$"&amp;$B12), H$2, FALSE)</f>
        <v>10230</v>
      </c>
      <c r="I12" s="22">
        <f t="shared" ca="1" si="1"/>
        <v>10220</v>
      </c>
      <c r="J12" s="22">
        <f t="shared" ca="1" si="1"/>
        <v>10230</v>
      </c>
      <c r="K12" s="22">
        <f t="shared" ca="1" si="1"/>
        <v>10230</v>
      </c>
      <c r="L12" s="22">
        <f t="shared" ca="1" si="1"/>
        <v>10220</v>
      </c>
      <c r="M12" s="23">
        <f t="shared" ca="1" si="1"/>
        <v>10210</v>
      </c>
    </row>
    <row r="13" spans="1:13" x14ac:dyDescent="0.2">
      <c r="A13" s="59">
        <v>44</v>
      </c>
      <c r="B13" s="59">
        <v>52</v>
      </c>
      <c r="C13" s="59" t="s">
        <v>71</v>
      </c>
      <c r="F13" s="20" t="s">
        <v>15</v>
      </c>
      <c r="G13" s="8" t="s">
        <v>11</v>
      </c>
      <c r="H13" s="21">
        <f t="shared" ca="1" si="1"/>
        <v>9880</v>
      </c>
      <c r="I13" s="22">
        <f t="shared" ca="1" si="1"/>
        <v>9890</v>
      </c>
      <c r="J13" s="22">
        <f t="shared" ca="1" si="1"/>
        <v>9880</v>
      </c>
      <c r="K13" s="22">
        <f t="shared" ca="1" si="1"/>
        <v>9880</v>
      </c>
      <c r="L13" s="22">
        <f t="shared" ca="1" si="1"/>
        <v>9870</v>
      </c>
      <c r="M13" s="23">
        <f t="shared" ca="1" si="1"/>
        <v>9870</v>
      </c>
    </row>
    <row r="14" spans="1:13" x14ac:dyDescent="0.2">
      <c r="F14" s="20"/>
      <c r="G14" s="8"/>
      <c r="H14" s="21"/>
      <c r="I14" s="22"/>
      <c r="J14" s="22"/>
      <c r="K14" s="22"/>
      <c r="L14" s="22"/>
      <c r="M14" s="23"/>
    </row>
    <row r="15" spans="1:13" x14ac:dyDescent="0.2">
      <c r="F15" s="5" t="s">
        <v>18</v>
      </c>
      <c r="G15" s="24"/>
      <c r="H15" s="7"/>
      <c r="I15" s="8"/>
      <c r="J15" s="8"/>
      <c r="K15" s="8"/>
      <c r="L15" s="8"/>
      <c r="M15" s="9"/>
    </row>
    <row r="16" spans="1:13" ht="14.25" x14ac:dyDescent="0.2">
      <c r="A16" s="59">
        <v>205</v>
      </c>
      <c r="B16" s="59">
        <v>209</v>
      </c>
      <c r="C16" s="59" t="s">
        <v>72</v>
      </c>
      <c r="F16" s="20" t="s">
        <v>27</v>
      </c>
      <c r="G16" s="25" t="s">
        <v>16</v>
      </c>
      <c r="H16" s="190">
        <f t="shared" ref="H16:M18" ca="1" si="2">VLOOKUP($C16, INDIRECT("'"&amp;$B$4&amp;"'!$B$"&amp;$A16&amp;":"&amp;"$H$"&amp;$B16), H$2, FALSE)</f>
        <v>79.900000000000006</v>
      </c>
      <c r="I16" s="27">
        <f t="shared" ca="1" si="2"/>
        <v>79.900000000000006</v>
      </c>
      <c r="J16" s="27">
        <f t="shared" ca="1" si="2"/>
        <v>79.900000000000006</v>
      </c>
      <c r="K16" s="27">
        <f t="shared" ca="1" si="2"/>
        <v>79.900000000000006</v>
      </c>
      <c r="L16" s="27">
        <f t="shared" ca="1" si="2"/>
        <v>79.900000000000006</v>
      </c>
      <c r="M16" s="28">
        <f t="shared" ca="1" si="2"/>
        <v>79.900000000000006</v>
      </c>
    </row>
    <row r="17" spans="1:13" ht="14.25" x14ac:dyDescent="0.2">
      <c r="A17" s="59">
        <v>205</v>
      </c>
      <c r="B17" s="59">
        <v>209</v>
      </c>
      <c r="C17" s="59" t="s">
        <v>73</v>
      </c>
      <c r="F17" s="20" t="s">
        <v>28</v>
      </c>
      <c r="G17" s="25" t="s">
        <v>16</v>
      </c>
      <c r="H17" s="26">
        <f t="shared" ca="1" si="2"/>
        <v>4.5</v>
      </c>
      <c r="I17" s="27">
        <f t="shared" ca="1" si="2"/>
        <v>4.5</v>
      </c>
      <c r="J17" s="27">
        <f t="shared" ca="1" si="2"/>
        <v>4.5</v>
      </c>
      <c r="K17" s="27">
        <f t="shared" ca="1" si="2"/>
        <v>4.5</v>
      </c>
      <c r="L17" s="27">
        <f t="shared" ca="1" si="2"/>
        <v>4.5</v>
      </c>
      <c r="M17" s="28">
        <f t="shared" ca="1" si="2"/>
        <v>4.5</v>
      </c>
    </row>
    <row r="18" spans="1:13" ht="14.25" x14ac:dyDescent="0.2">
      <c r="A18" s="59">
        <v>205</v>
      </c>
      <c r="B18" s="59">
        <v>209</v>
      </c>
      <c r="C18" s="59" t="s">
        <v>74</v>
      </c>
      <c r="F18" s="20" t="s">
        <v>29</v>
      </c>
      <c r="G18" s="25" t="s">
        <v>16</v>
      </c>
      <c r="H18" s="21">
        <f t="shared" ca="1" si="2"/>
        <v>272400</v>
      </c>
      <c r="I18" s="22">
        <f t="shared" ca="1" si="2"/>
        <v>272400</v>
      </c>
      <c r="J18" s="22">
        <f t="shared" ca="1" si="2"/>
        <v>270000</v>
      </c>
      <c r="K18" s="22">
        <f t="shared" ca="1" si="2"/>
        <v>270000</v>
      </c>
      <c r="L18" s="22">
        <f t="shared" ca="1" si="2"/>
        <v>270000</v>
      </c>
      <c r="M18" s="23">
        <f t="shared" ca="1" si="2"/>
        <v>271200</v>
      </c>
    </row>
    <row r="19" spans="1:13" x14ac:dyDescent="0.2">
      <c r="F19" s="5" t="s">
        <v>19</v>
      </c>
      <c r="G19" s="24"/>
      <c r="H19" s="29"/>
      <c r="I19" s="24"/>
      <c r="J19" s="24"/>
      <c r="K19" s="24"/>
      <c r="L19" s="24"/>
      <c r="M19" s="30"/>
    </row>
    <row r="20" spans="1:13" ht="14.25" x14ac:dyDescent="0.2">
      <c r="A20" s="59">
        <v>205</v>
      </c>
      <c r="B20" s="59">
        <v>209</v>
      </c>
      <c r="C20" s="59" t="s">
        <v>72</v>
      </c>
      <c r="F20" s="20" t="s">
        <v>27</v>
      </c>
      <c r="G20" s="25" t="s">
        <v>16</v>
      </c>
      <c r="H20" s="26">
        <f t="shared" ref="H20:M22" ca="1" si="3">VLOOKUP($C20, INDIRECT("'"&amp;$B$4&amp;"'!$B$"&amp;$A20&amp;":"&amp;"$H$"&amp;$B20), H$2, FALSE)*H$13/H$12</f>
        <v>77.166373411534707</v>
      </c>
      <c r="I20" s="27">
        <f t="shared" ca="1" si="3"/>
        <v>77.320058708414876</v>
      </c>
      <c r="J20" s="27">
        <f t="shared" ca="1" si="3"/>
        <v>77.166373411534707</v>
      </c>
      <c r="K20" s="27">
        <f t="shared" ca="1" si="3"/>
        <v>77.166373411534707</v>
      </c>
      <c r="L20" s="27">
        <f t="shared" ca="1" si="3"/>
        <v>77.163698630136992</v>
      </c>
      <c r="M20" s="28">
        <f t="shared" ca="1" si="3"/>
        <v>77.239275220372178</v>
      </c>
    </row>
    <row r="21" spans="1:13" ht="14.25" x14ac:dyDescent="0.2">
      <c r="A21" s="59">
        <v>205</v>
      </c>
      <c r="B21" s="59">
        <v>209</v>
      </c>
      <c r="C21" s="59" t="s">
        <v>73</v>
      </c>
      <c r="F21" s="20" t="s">
        <v>28</v>
      </c>
      <c r="G21" s="25" t="s">
        <v>16</v>
      </c>
      <c r="H21" s="26">
        <f t="shared" ca="1" si="3"/>
        <v>4.3460410557184748</v>
      </c>
      <c r="I21" s="27">
        <f t="shared" ca="1" si="3"/>
        <v>4.3546966731898236</v>
      </c>
      <c r="J21" s="27">
        <f t="shared" ca="1" si="3"/>
        <v>4.3460410557184748</v>
      </c>
      <c r="K21" s="27">
        <f t="shared" ca="1" si="3"/>
        <v>4.3460410557184748</v>
      </c>
      <c r="L21" s="27">
        <f t="shared" ca="1" si="3"/>
        <v>4.345890410958904</v>
      </c>
      <c r="M21" s="28">
        <f t="shared" ca="1" si="3"/>
        <v>4.3501469147894225</v>
      </c>
    </row>
    <row r="22" spans="1:13" ht="14.25" x14ac:dyDescent="0.2">
      <c r="A22" s="59">
        <v>205</v>
      </c>
      <c r="B22" s="59">
        <v>209</v>
      </c>
      <c r="C22" s="59" t="s">
        <v>74</v>
      </c>
      <c r="F22" s="20" t="s">
        <v>29</v>
      </c>
      <c r="G22" s="25" t="s">
        <v>16</v>
      </c>
      <c r="H22" s="21">
        <f t="shared" ca="1" si="3"/>
        <v>263080.35190615838</v>
      </c>
      <c r="I22" s="22">
        <f t="shared" ca="1" si="3"/>
        <v>263604.30528375733</v>
      </c>
      <c r="J22" s="22">
        <f t="shared" ca="1" si="3"/>
        <v>260762.46334310851</v>
      </c>
      <c r="K22" s="22">
        <f t="shared" ca="1" si="3"/>
        <v>260762.46334310851</v>
      </c>
      <c r="L22" s="22">
        <f t="shared" ca="1" si="3"/>
        <v>260753.42465753425</v>
      </c>
      <c r="M22" s="23">
        <f t="shared" ca="1" si="3"/>
        <v>262168.85406464251</v>
      </c>
    </row>
    <row r="23" spans="1:13" x14ac:dyDescent="0.2">
      <c r="F23" s="5" t="s">
        <v>325</v>
      </c>
      <c r="G23" s="24"/>
      <c r="H23" s="21"/>
      <c r="I23" s="22"/>
      <c r="J23" s="22"/>
      <c r="K23" s="22"/>
      <c r="L23" s="22"/>
      <c r="M23" s="23"/>
    </row>
    <row r="24" spans="1:13" ht="14.25" x14ac:dyDescent="0.2">
      <c r="A24" s="59">
        <v>219</v>
      </c>
      <c r="B24" s="59">
        <v>223</v>
      </c>
      <c r="C24" s="59" t="s">
        <v>72</v>
      </c>
      <c r="F24" s="20" t="s">
        <v>27</v>
      </c>
      <c r="G24" s="25" t="s">
        <v>16</v>
      </c>
      <c r="H24" s="26">
        <f ca="1">VLOOKUP($C24, INDIRECT("'"&amp;$B$4&amp;"'!$B$"&amp;$A24&amp;":"&amp;"$H$"&amp;$B24), H$2, FALSE)</f>
        <v>430</v>
      </c>
      <c r="I24" s="22">
        <f t="shared" ref="I24:M26" ca="1" si="4">VLOOKUP($C24, INDIRECT("'"&amp;$B$4&amp;"'!$B$"&amp;$A24&amp;":"&amp;"$H$"&amp;$B24), I$2, FALSE)</f>
        <v>430</v>
      </c>
      <c r="J24" s="22">
        <f t="shared" ca="1" si="4"/>
        <v>430</v>
      </c>
      <c r="K24" s="22">
        <f t="shared" ca="1" si="4"/>
        <v>430</v>
      </c>
      <c r="L24" s="22">
        <f t="shared" ca="1" si="4"/>
        <v>430</v>
      </c>
      <c r="M24" s="23">
        <f t="shared" ca="1" si="4"/>
        <v>430</v>
      </c>
    </row>
    <row r="25" spans="1:13" ht="14.25" x14ac:dyDescent="0.2">
      <c r="A25" s="59">
        <v>219</v>
      </c>
      <c r="B25" s="59">
        <v>223</v>
      </c>
      <c r="C25" s="59" t="s">
        <v>73</v>
      </c>
      <c r="F25" s="20" t="s">
        <v>28</v>
      </c>
      <c r="G25" s="25" t="s">
        <v>16</v>
      </c>
      <c r="H25" s="21">
        <f t="shared" ref="H25:H26" ca="1" si="5">VLOOKUP($C25, INDIRECT("'"&amp;$B$4&amp;"'!$B$"&amp;$A25&amp;":"&amp;"$H$"&amp;$B25), H$2, FALSE)</f>
        <v>3.5</v>
      </c>
      <c r="I25" s="22">
        <f t="shared" ca="1" si="4"/>
        <v>3.5</v>
      </c>
      <c r="J25" s="22">
        <f t="shared" ca="1" si="4"/>
        <v>3.4</v>
      </c>
      <c r="K25" s="22">
        <f t="shared" ca="1" si="4"/>
        <v>3.4</v>
      </c>
      <c r="L25" s="22">
        <f t="shared" ca="1" si="4"/>
        <v>3.4</v>
      </c>
      <c r="M25" s="23">
        <f t="shared" ca="1" si="4"/>
        <v>3.4</v>
      </c>
    </row>
    <row r="26" spans="1:13" ht="14.25" x14ac:dyDescent="0.2">
      <c r="A26" s="59">
        <v>219</v>
      </c>
      <c r="B26" s="59">
        <v>223</v>
      </c>
      <c r="C26" s="59" t="s">
        <v>74</v>
      </c>
      <c r="F26" s="20" t="s">
        <v>29</v>
      </c>
      <c r="G26" s="25" t="s">
        <v>16</v>
      </c>
      <c r="H26" s="21">
        <f t="shared" ca="1" si="5"/>
        <v>363200</v>
      </c>
      <c r="I26" s="22">
        <f t="shared" ca="1" si="4"/>
        <v>363200</v>
      </c>
      <c r="J26" s="22">
        <f t="shared" ca="1" si="4"/>
        <v>360000</v>
      </c>
      <c r="K26" s="22">
        <f t="shared" ca="1" si="4"/>
        <v>360000</v>
      </c>
      <c r="L26" s="22">
        <f t="shared" ca="1" si="4"/>
        <v>360000</v>
      </c>
      <c r="M26" s="23">
        <f t="shared" ca="1" si="4"/>
        <v>361600</v>
      </c>
    </row>
    <row r="27" spans="1:13" x14ac:dyDescent="0.2">
      <c r="F27" s="5" t="s">
        <v>17</v>
      </c>
      <c r="G27" s="24"/>
      <c r="H27" s="29"/>
      <c r="I27" s="24"/>
      <c r="J27" s="24"/>
      <c r="K27" s="24"/>
      <c r="L27" s="24"/>
      <c r="M27" s="30"/>
    </row>
    <row r="28" spans="1:13" ht="14.25" x14ac:dyDescent="0.2">
      <c r="A28" s="59">
        <v>219</v>
      </c>
      <c r="B28" s="59">
        <v>223</v>
      </c>
      <c r="C28" s="59" t="s">
        <v>72</v>
      </c>
      <c r="F28" s="20" t="s">
        <v>27</v>
      </c>
      <c r="G28" s="25" t="s">
        <v>16</v>
      </c>
      <c r="H28" s="26">
        <f t="shared" ref="H28:M30" ca="1" si="6">VLOOKUP($C28, INDIRECT("'"&amp;$B$4&amp;"'!$B$"&amp;$A28&amp;":"&amp;"$H$"&amp;$B28), H$2, FALSE)*H$13/H$12</f>
        <v>415.28836754643208</v>
      </c>
      <c r="I28" s="27">
        <f t="shared" ca="1" si="6"/>
        <v>416.1154598825832</v>
      </c>
      <c r="J28" s="27">
        <f t="shared" ca="1" si="6"/>
        <v>415.28836754643208</v>
      </c>
      <c r="K28" s="27">
        <f t="shared" ca="1" si="6"/>
        <v>415.28836754643208</v>
      </c>
      <c r="L28" s="27">
        <f t="shared" ca="1" si="6"/>
        <v>415.27397260273972</v>
      </c>
      <c r="M28" s="28">
        <f t="shared" ca="1" si="6"/>
        <v>415.68070519098922</v>
      </c>
    </row>
    <row r="29" spans="1:13" ht="14.25" x14ac:dyDescent="0.2">
      <c r="A29" s="59">
        <v>219</v>
      </c>
      <c r="B29" s="59">
        <v>223</v>
      </c>
      <c r="C29" s="59" t="s">
        <v>73</v>
      </c>
      <c r="F29" s="20" t="s">
        <v>28</v>
      </c>
      <c r="G29" s="25" t="s">
        <v>16</v>
      </c>
      <c r="H29" s="26">
        <f t="shared" ca="1" si="6"/>
        <v>3.3802541544477029</v>
      </c>
      <c r="I29" s="27">
        <f t="shared" ca="1" si="6"/>
        <v>3.3869863013698631</v>
      </c>
      <c r="J29" s="27">
        <f t="shared" ca="1" si="6"/>
        <v>3.2836754643206256</v>
      </c>
      <c r="K29" s="27">
        <f t="shared" ca="1" si="6"/>
        <v>3.2836754643206256</v>
      </c>
      <c r="L29" s="27">
        <f t="shared" ca="1" si="6"/>
        <v>3.2835616438356166</v>
      </c>
      <c r="M29" s="28">
        <f t="shared" ca="1" si="6"/>
        <v>3.2867776689520078</v>
      </c>
    </row>
    <row r="30" spans="1:13" ht="14.25" x14ac:dyDescent="0.2">
      <c r="A30" s="59">
        <v>219</v>
      </c>
      <c r="B30" s="59">
        <v>223</v>
      </c>
      <c r="C30" s="59" t="s">
        <v>74</v>
      </c>
      <c r="F30" s="20" t="s">
        <v>29</v>
      </c>
      <c r="G30" s="25" t="s">
        <v>16</v>
      </c>
      <c r="H30" s="21">
        <f t="shared" ca="1" si="6"/>
        <v>350773.80254154449</v>
      </c>
      <c r="I30" s="22">
        <f t="shared" ca="1" si="6"/>
        <v>351472.40704500978</v>
      </c>
      <c r="J30" s="22">
        <f t="shared" ca="1" si="6"/>
        <v>347683.28445747803</v>
      </c>
      <c r="K30" s="22">
        <f t="shared" ca="1" si="6"/>
        <v>347683.28445747803</v>
      </c>
      <c r="L30" s="22">
        <f t="shared" ca="1" si="6"/>
        <v>347671.23287671234</v>
      </c>
      <c r="M30" s="23">
        <f t="shared" ca="1" si="6"/>
        <v>349558.47208619001</v>
      </c>
    </row>
    <row r="31" spans="1:13" x14ac:dyDescent="0.2">
      <c r="F31" s="4" t="s">
        <v>21</v>
      </c>
      <c r="G31" s="25"/>
      <c r="H31" s="29"/>
      <c r="I31" s="24"/>
      <c r="J31" s="24"/>
      <c r="K31" s="24"/>
      <c r="L31" s="24"/>
      <c r="M31" s="30"/>
    </row>
    <row r="32" spans="1:13" x14ac:dyDescent="0.2">
      <c r="F32" s="31"/>
      <c r="G32" s="8"/>
      <c r="H32" s="53"/>
      <c r="I32" s="54"/>
      <c r="J32" s="54"/>
      <c r="K32" s="54"/>
      <c r="L32" s="54"/>
      <c r="M32" s="55"/>
    </row>
    <row r="33" spans="1:13" ht="25.5" x14ac:dyDescent="0.2">
      <c r="A33" s="303" t="s">
        <v>354</v>
      </c>
      <c r="B33" s="303"/>
      <c r="C33" s="303"/>
      <c r="D33" s="271"/>
      <c r="F33" s="31" t="s">
        <v>277</v>
      </c>
      <c r="G33" s="8" t="s">
        <v>8</v>
      </c>
      <c r="H33" s="53">
        <v>325</v>
      </c>
      <c r="I33" s="54">
        <v>325</v>
      </c>
      <c r="J33" s="54">
        <v>325</v>
      </c>
      <c r="K33" s="54">
        <v>325</v>
      </c>
      <c r="L33" s="54">
        <v>325</v>
      </c>
      <c r="M33" s="55">
        <v>325</v>
      </c>
    </row>
    <row r="34" spans="1:13" ht="13.5" thickBot="1" x14ac:dyDescent="0.25">
      <c r="A34" s="59">
        <v>16</v>
      </c>
      <c r="B34" s="59">
        <v>16</v>
      </c>
      <c r="C34" s="59" t="s">
        <v>89</v>
      </c>
      <c r="F34" s="32" t="s">
        <v>7</v>
      </c>
      <c r="G34" s="52" t="s">
        <v>12</v>
      </c>
      <c r="H34" s="56">
        <f t="shared" ref="H34:M34" ca="1" si="7">VLOOKUP($C34, INDIRECT("'"&amp;$B$4&amp;"'!$B$"&amp;$A34&amp;":"&amp;"$H$"&amp;$B34), H$2, FALSE)</f>
        <v>4.3400000000000001E-2</v>
      </c>
      <c r="I34" s="57">
        <f t="shared" ca="1" si="7"/>
        <v>4.3400000000000001E-2</v>
      </c>
      <c r="J34" s="57">
        <f t="shared" ca="1" si="7"/>
        <v>4.3400000000000001E-2</v>
      </c>
      <c r="K34" s="57">
        <f t="shared" ca="1" si="7"/>
        <v>4.3400000000000001E-2</v>
      </c>
      <c r="L34" s="57">
        <f t="shared" ca="1" si="7"/>
        <v>4.3400000000000001E-2</v>
      </c>
      <c r="M34" s="58">
        <f t="shared" ca="1" si="7"/>
        <v>4.3400000000000001E-2</v>
      </c>
    </row>
    <row r="35" spans="1:13" ht="12.75" customHeight="1" x14ac:dyDescent="0.2">
      <c r="F35" s="6" t="s">
        <v>20</v>
      </c>
      <c r="G35" s="24"/>
      <c r="H35" s="34"/>
      <c r="I35" s="35"/>
      <c r="J35" s="35"/>
      <c r="K35" s="35"/>
      <c r="L35" s="35"/>
      <c r="M35" s="36"/>
    </row>
    <row r="36" spans="1:13" x14ac:dyDescent="0.2">
      <c r="A36" s="59">
        <v>184</v>
      </c>
      <c r="B36" s="59">
        <v>187</v>
      </c>
      <c r="C36" s="59" t="s">
        <v>166</v>
      </c>
      <c r="D36" s="59" t="s">
        <v>168</v>
      </c>
      <c r="F36" s="20" t="s">
        <v>24</v>
      </c>
      <c r="G36" s="8" t="s">
        <v>10</v>
      </c>
      <c r="H36" s="191">
        <f ca="1">VLOOKUP($C36, INDIRECT("'"&amp;$B$4&amp;"'!$B$"&amp;$A36&amp;":"&amp;"$H$"&amp;$B36), H$2, FALSE)-VLOOKUP($D36, INDIRECT("'"&amp;$B$4&amp;"'!$B$"&amp;$A36&amp;":"&amp;"$H$"&amp;$B36), H$2, FALSE)</f>
        <v>0.91</v>
      </c>
      <c r="I36" s="41">
        <f t="shared" ref="I36:M37" ca="1" si="8">VLOOKUP($C36, INDIRECT("'"&amp;$B$4&amp;"'!$B$"&amp;$A36&amp;":"&amp;"$H$"&amp;$B36), I$2, FALSE)-VLOOKUP($D36, INDIRECT("'"&amp;$B$4&amp;"'!$B$"&amp;$A36&amp;":"&amp;"$H$"&amp;$B36), I$2, FALSE)</f>
        <v>0.93</v>
      </c>
      <c r="J36" s="41">
        <f t="shared" ca="1" si="8"/>
        <v>0.9</v>
      </c>
      <c r="K36" s="41">
        <f t="shared" ca="1" si="8"/>
        <v>0.9</v>
      </c>
      <c r="L36" s="41">
        <f t="shared" ca="1" si="8"/>
        <v>0.9</v>
      </c>
      <c r="M36" s="42">
        <f t="shared" ca="1" si="8"/>
        <v>0.9</v>
      </c>
    </row>
    <row r="37" spans="1:13" x14ac:dyDescent="0.2">
      <c r="A37" s="59">
        <v>190</v>
      </c>
      <c r="B37" s="59">
        <v>193</v>
      </c>
      <c r="C37" s="59" t="s">
        <v>166</v>
      </c>
      <c r="D37" s="59" t="s">
        <v>168</v>
      </c>
      <c r="F37" s="20" t="s">
        <v>25</v>
      </c>
      <c r="G37" s="8" t="s">
        <v>10</v>
      </c>
      <c r="H37" s="40">
        <f t="shared" ref="H37" ca="1" si="9">VLOOKUP($C37, INDIRECT("'"&amp;$B$4&amp;"'!$B$"&amp;$A37&amp;":"&amp;"$H$"&amp;$B37), H$2, FALSE)-VLOOKUP($D37, INDIRECT("'"&amp;$B$4&amp;"'!$B$"&amp;$A37&amp;":"&amp;"$H$"&amp;$B37), H$2, FALSE)</f>
        <v>7.9999999999999991</v>
      </c>
      <c r="I37" s="41">
        <f t="shared" ca="1" si="8"/>
        <v>8.379999999999999</v>
      </c>
      <c r="J37" s="41">
        <f t="shared" ca="1" si="8"/>
        <v>8</v>
      </c>
      <c r="K37" s="41">
        <f t="shared" ca="1" si="8"/>
        <v>8</v>
      </c>
      <c r="L37" s="41">
        <f t="shared" ca="1" si="8"/>
        <v>8</v>
      </c>
      <c r="M37" s="42">
        <f t="shared" ca="1" si="8"/>
        <v>8</v>
      </c>
    </row>
    <row r="38" spans="1:13" ht="13.5" thickBot="1" x14ac:dyDescent="0.25">
      <c r="A38" s="59">
        <v>177</v>
      </c>
      <c r="B38" s="59">
        <v>180</v>
      </c>
      <c r="C38" s="59" t="s">
        <v>163</v>
      </c>
      <c r="F38" s="32" t="s">
        <v>6</v>
      </c>
      <c r="G38" s="33" t="s">
        <v>9</v>
      </c>
      <c r="H38" s="43">
        <f t="shared" ref="H38:M38" ca="1" si="10">VLOOKUP($C38, INDIRECT("'"&amp;$B$4&amp;"'!$B$"&amp;$A38&amp;":"&amp;"$H$"&amp;$B38), H$2, FALSE)</f>
        <v>9500</v>
      </c>
      <c r="I38" s="44">
        <f t="shared" ca="1" si="10"/>
        <v>9500</v>
      </c>
      <c r="J38" s="44">
        <f t="shared" ca="1" si="10"/>
        <v>9500</v>
      </c>
      <c r="K38" s="44">
        <f t="shared" ca="1" si="10"/>
        <v>9500</v>
      </c>
      <c r="L38" s="44">
        <f t="shared" ca="1" si="10"/>
        <v>9500</v>
      </c>
      <c r="M38" s="45">
        <f t="shared" ca="1" si="10"/>
        <v>9500</v>
      </c>
    </row>
    <row r="40" spans="1:13" x14ac:dyDescent="0.2">
      <c r="F40" s="10" t="s">
        <v>400</v>
      </c>
    </row>
  </sheetData>
  <mergeCells count="3">
    <mergeCell ref="H4:M4"/>
    <mergeCell ref="H6:M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0"/>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2" s="59" customFormat="1" hidden="1" outlineLevel="1" x14ac:dyDescent="0.2">
      <c r="G1" s="59" t="s">
        <v>60</v>
      </c>
      <c r="H1" s="59" t="s">
        <v>61</v>
      </c>
      <c r="I1" s="59" t="s">
        <v>62</v>
      </c>
      <c r="J1" s="59" t="s">
        <v>63</v>
      </c>
      <c r="K1" s="59" t="s">
        <v>64</v>
      </c>
      <c r="L1" s="59" t="s">
        <v>65</v>
      </c>
    </row>
    <row r="2" spans="1:12" s="59" customFormat="1" hidden="1" outlineLevel="1" x14ac:dyDescent="0.2">
      <c r="G2" s="59">
        <f>MATCH(G1, '[2]1x HA.02 25ppm'!$B$6:$H$6)</f>
        <v>7</v>
      </c>
      <c r="H2" s="59">
        <f>MATCH(H1, '[2]1x HA.02 25ppm'!$B$6:$H$6)</f>
        <v>6</v>
      </c>
      <c r="I2" s="59">
        <f>MATCH(I1, '[2]1x HA.02 25ppm'!$B$6:$H$6)</f>
        <v>4</v>
      </c>
      <c r="J2" s="59">
        <f>MATCH(J1, '[2]1x HA.02 25ppm'!$B$6:$H$6)</f>
        <v>5</v>
      </c>
      <c r="K2" s="59">
        <f>MATCH(K1, '[2]1x HA.02 25ppm'!$B$6:$H$6)</f>
        <v>3</v>
      </c>
      <c r="L2" s="59">
        <f>MATCH(L1, '[2]1x HA.02 25ppm'!$B$6:$H$6)</f>
        <v>2</v>
      </c>
    </row>
    <row r="3" spans="1:12" ht="13.5" collapsed="1" thickBot="1" x14ac:dyDescent="0.25"/>
    <row r="4" spans="1:12" ht="14.25" x14ac:dyDescent="0.2">
      <c r="A4" s="60" t="s">
        <v>75</v>
      </c>
      <c r="B4" s="59" t="s">
        <v>203</v>
      </c>
      <c r="E4" s="11"/>
      <c r="F4" s="12"/>
      <c r="G4" s="297" t="s">
        <v>356</v>
      </c>
      <c r="H4" s="298"/>
      <c r="I4" s="298"/>
      <c r="J4" s="298"/>
      <c r="K4" s="298"/>
      <c r="L4" s="299"/>
    </row>
    <row r="5" spans="1:12" ht="26.25" thickBot="1" x14ac:dyDescent="0.25">
      <c r="E5" s="3" t="s">
        <v>0</v>
      </c>
      <c r="F5" s="2" t="s">
        <v>1</v>
      </c>
      <c r="G5" s="13" t="s">
        <v>3</v>
      </c>
      <c r="H5" s="13" t="s">
        <v>30</v>
      </c>
      <c r="I5" s="13" t="s">
        <v>22</v>
      </c>
      <c r="J5" s="14" t="s">
        <v>23</v>
      </c>
      <c r="K5" s="13" t="s">
        <v>4</v>
      </c>
      <c r="L5" s="15" t="s">
        <v>5</v>
      </c>
    </row>
    <row r="6" spans="1:12" ht="25.5" customHeight="1" x14ac:dyDescent="0.2">
      <c r="A6" s="189" t="s">
        <v>197</v>
      </c>
      <c r="B6" s="189" t="s">
        <v>198</v>
      </c>
      <c r="C6" s="189" t="s">
        <v>199</v>
      </c>
      <c r="E6" s="4" t="s">
        <v>13</v>
      </c>
      <c r="F6" s="1"/>
      <c r="G6" s="304"/>
      <c r="H6" s="305"/>
      <c r="I6" s="305"/>
      <c r="J6" s="305"/>
      <c r="K6" s="305"/>
      <c r="L6" s="306"/>
    </row>
    <row r="7" spans="1:12" x14ac:dyDescent="0.2">
      <c r="E7" s="5" t="s">
        <v>66</v>
      </c>
      <c r="F7" s="1"/>
      <c r="G7" s="16"/>
      <c r="H7" s="17"/>
      <c r="I7" s="17"/>
      <c r="J7" s="18"/>
      <c r="K7" s="17"/>
      <c r="L7" s="19"/>
    </row>
    <row r="8" spans="1:12" x14ac:dyDescent="0.2">
      <c r="A8" s="59">
        <v>32</v>
      </c>
      <c r="B8" s="59">
        <v>40</v>
      </c>
      <c r="C8" s="59" t="s">
        <v>67</v>
      </c>
      <c r="E8" s="20" t="s">
        <v>69</v>
      </c>
      <c r="F8" s="8" t="s">
        <v>2</v>
      </c>
      <c r="G8" s="37">
        <f ca="1">VLOOKUP($C8, INDIRECT("'"&amp;$B$4&amp;"'!$B$"&amp;$A8&amp;":"&amp;"$H$"&amp;$B8), G$2, FALSE)/1000</f>
        <v>216.7</v>
      </c>
      <c r="H8" s="38">
        <f t="shared" ref="H8:L9" ca="1" si="0">VLOOKUP($C8, INDIRECT("'"&amp;$B$4&amp;"'!$B$"&amp;$A8&amp;":"&amp;"$H$"&amp;$B8), H$2, FALSE)/1000</f>
        <v>216.9</v>
      </c>
      <c r="I8" s="38">
        <f t="shared" ca="1" si="0"/>
        <v>215.5</v>
      </c>
      <c r="J8" s="38">
        <f t="shared" ca="1" si="0"/>
        <v>215.4</v>
      </c>
      <c r="K8" s="38">
        <f t="shared" ca="1" si="0"/>
        <v>215.2</v>
      </c>
      <c r="L8" s="39">
        <f t="shared" ca="1" si="0"/>
        <v>214.3</v>
      </c>
    </row>
    <row r="9" spans="1:12" x14ac:dyDescent="0.2">
      <c r="A9" s="59">
        <v>44</v>
      </c>
      <c r="B9" s="59">
        <v>52</v>
      </c>
      <c r="C9" s="59" t="s">
        <v>67</v>
      </c>
      <c r="E9" s="20" t="s">
        <v>70</v>
      </c>
      <c r="F9" s="8" t="s">
        <v>2</v>
      </c>
      <c r="G9" s="37">
        <f t="shared" ref="G9" ca="1" si="1">VLOOKUP($C9, INDIRECT("'"&amp;$B$4&amp;"'!$B$"&amp;$A9&amp;":"&amp;"$H$"&amp;$B9), G$2, FALSE)/1000</f>
        <v>227.7</v>
      </c>
      <c r="H9" s="38">
        <f t="shared" ca="1" si="0"/>
        <v>227.3</v>
      </c>
      <c r="I9" s="38">
        <f t="shared" ca="1" si="0"/>
        <v>226.9</v>
      </c>
      <c r="J9" s="38">
        <f t="shared" ca="1" si="0"/>
        <v>226.8</v>
      </c>
      <c r="K9" s="38">
        <f t="shared" ca="1" si="0"/>
        <v>226.5</v>
      </c>
      <c r="L9" s="39">
        <f t="shared" ca="1" si="0"/>
        <v>225.4</v>
      </c>
    </row>
    <row r="10" spans="1:12" x14ac:dyDescent="0.2">
      <c r="E10" s="20"/>
      <c r="F10" s="8"/>
      <c r="G10" s="37"/>
      <c r="H10" s="38"/>
      <c r="I10" s="38"/>
      <c r="J10" s="38"/>
      <c r="K10" s="38"/>
      <c r="L10" s="39"/>
    </row>
    <row r="11" spans="1:12" x14ac:dyDescent="0.2">
      <c r="E11" s="5" t="s">
        <v>68</v>
      </c>
      <c r="F11" s="8"/>
      <c r="G11" s="7"/>
      <c r="H11" s="8"/>
      <c r="I11" s="8"/>
      <c r="J11" s="8"/>
      <c r="K11" s="8"/>
      <c r="L11" s="9"/>
    </row>
    <row r="12" spans="1:12" x14ac:dyDescent="0.2">
      <c r="A12" s="59">
        <v>32</v>
      </c>
      <c r="B12" s="59">
        <v>40</v>
      </c>
      <c r="C12" s="59" t="s">
        <v>71</v>
      </c>
      <c r="E12" s="20" t="s">
        <v>14</v>
      </c>
      <c r="F12" s="8" t="s">
        <v>11</v>
      </c>
      <c r="G12" s="21">
        <f ca="1">VLOOKUP($C12, INDIRECT("'"&amp;$B$4&amp;"'!$B$"&amp;$A12&amp;":"&amp;"$H$"&amp;$B12), G$2, FALSE)</f>
        <v>10230</v>
      </c>
      <c r="H12" s="22">
        <f t="shared" ref="H12:L13" ca="1" si="2">VLOOKUP($C12, INDIRECT("'"&amp;$B$4&amp;"'!$B$"&amp;$A12&amp;":"&amp;"$H$"&amp;$B12), H$2, FALSE)</f>
        <v>10220</v>
      </c>
      <c r="I12" s="22">
        <f t="shared" ca="1" si="2"/>
        <v>10230</v>
      </c>
      <c r="J12" s="22">
        <f t="shared" ca="1" si="2"/>
        <v>10230</v>
      </c>
      <c r="K12" s="22">
        <f t="shared" ca="1" si="2"/>
        <v>10220</v>
      </c>
      <c r="L12" s="23">
        <f t="shared" ca="1" si="2"/>
        <v>10210</v>
      </c>
    </row>
    <row r="13" spans="1:12" x14ac:dyDescent="0.2">
      <c r="A13" s="59">
        <v>44</v>
      </c>
      <c r="B13" s="59">
        <v>52</v>
      </c>
      <c r="C13" s="59" t="s">
        <v>71</v>
      </c>
      <c r="E13" s="20" t="s">
        <v>15</v>
      </c>
      <c r="F13" s="8" t="s">
        <v>11</v>
      </c>
      <c r="G13" s="21">
        <f ca="1">VLOOKUP($C13, INDIRECT("'"&amp;$B$4&amp;"'!$B$"&amp;$A13&amp;":"&amp;"$H$"&amp;$B13), G$2, FALSE)</f>
        <v>9880</v>
      </c>
      <c r="H13" s="22">
        <f t="shared" ca="1" si="2"/>
        <v>9890</v>
      </c>
      <c r="I13" s="22">
        <f t="shared" ca="1" si="2"/>
        <v>9880</v>
      </c>
      <c r="J13" s="22">
        <f t="shared" ca="1" si="2"/>
        <v>9880</v>
      </c>
      <c r="K13" s="22">
        <f t="shared" ca="1" si="2"/>
        <v>9870</v>
      </c>
      <c r="L13" s="23">
        <f t="shared" ca="1" si="2"/>
        <v>9870</v>
      </c>
    </row>
    <row r="14" spans="1:12" x14ac:dyDescent="0.2">
      <c r="E14" s="20"/>
      <c r="F14" s="8"/>
      <c r="G14" s="21"/>
      <c r="H14" s="22"/>
      <c r="I14" s="22"/>
      <c r="J14" s="22"/>
      <c r="K14" s="22"/>
      <c r="L14" s="23"/>
    </row>
    <row r="15" spans="1:12" x14ac:dyDescent="0.2">
      <c r="E15" s="5" t="s">
        <v>18</v>
      </c>
      <c r="F15" s="24"/>
      <c r="G15" s="7"/>
      <c r="H15" s="8"/>
      <c r="I15" s="8"/>
      <c r="J15" s="8"/>
      <c r="K15" s="8"/>
      <c r="L15" s="9"/>
    </row>
    <row r="16" spans="1:12" ht="14.25" x14ac:dyDescent="0.2">
      <c r="A16" s="59">
        <v>211</v>
      </c>
      <c r="B16" s="59">
        <v>215</v>
      </c>
      <c r="C16" s="59" t="s">
        <v>72</v>
      </c>
      <c r="E16" s="20" t="s">
        <v>27</v>
      </c>
      <c r="F16" s="25" t="s">
        <v>16</v>
      </c>
      <c r="G16" s="190">
        <f ca="1">VLOOKUP($C16, INDIRECT("'"&amp;$B$4&amp;"'!$B$"&amp;$A16&amp;":"&amp;"$H$"&amp;$B16), G$2, FALSE)</f>
        <v>17.8</v>
      </c>
      <c r="H16" s="27">
        <f t="shared" ref="H16:L18" ca="1" si="3">VLOOKUP($C16, INDIRECT("'"&amp;$B$4&amp;"'!$B$"&amp;$A16&amp;":"&amp;"$H$"&amp;$B16), H$2, FALSE)</f>
        <v>17.8</v>
      </c>
      <c r="I16" s="27">
        <f t="shared" ca="1" si="3"/>
        <v>17.8</v>
      </c>
      <c r="J16" s="27">
        <f t="shared" ca="1" si="3"/>
        <v>17.8</v>
      </c>
      <c r="K16" s="27">
        <f t="shared" ca="1" si="3"/>
        <v>17.8</v>
      </c>
      <c r="L16" s="28">
        <f t="shared" ca="1" si="3"/>
        <v>17.8</v>
      </c>
    </row>
    <row r="17" spans="1:12" ht="14.25" x14ac:dyDescent="0.2">
      <c r="A17" s="59">
        <v>211</v>
      </c>
      <c r="B17" s="59">
        <v>215</v>
      </c>
      <c r="C17" s="59" t="s">
        <v>73</v>
      </c>
      <c r="E17" s="20" t="s">
        <v>28</v>
      </c>
      <c r="F17" s="25" t="s">
        <v>16</v>
      </c>
      <c r="G17" s="26">
        <f t="shared" ref="G17:G18" ca="1" si="4">VLOOKUP($C17, INDIRECT("'"&amp;$B$4&amp;"'!$B$"&amp;$A17&amp;":"&amp;"$H$"&amp;$B17), G$2, FALSE)</f>
        <v>4.5</v>
      </c>
      <c r="H17" s="27">
        <f t="shared" ca="1" si="3"/>
        <v>4.5</v>
      </c>
      <c r="I17" s="27">
        <f t="shared" ca="1" si="3"/>
        <v>4.5</v>
      </c>
      <c r="J17" s="27">
        <f t="shared" ca="1" si="3"/>
        <v>4.5</v>
      </c>
      <c r="K17" s="27">
        <f t="shared" ca="1" si="3"/>
        <v>4.5</v>
      </c>
      <c r="L17" s="28">
        <f t="shared" ca="1" si="3"/>
        <v>4.5</v>
      </c>
    </row>
    <row r="18" spans="1:12" ht="14.25" x14ac:dyDescent="0.2">
      <c r="A18" s="59">
        <v>211</v>
      </c>
      <c r="B18" s="59">
        <v>215</v>
      </c>
      <c r="C18" s="59" t="s">
        <v>74</v>
      </c>
      <c r="E18" s="20" t="s">
        <v>29</v>
      </c>
      <c r="F18" s="25" t="s">
        <v>16</v>
      </c>
      <c r="G18" s="21">
        <f t="shared" ca="1" si="4"/>
        <v>272400</v>
      </c>
      <c r="H18" s="22">
        <f t="shared" ca="1" si="3"/>
        <v>272400</v>
      </c>
      <c r="I18" s="22">
        <f t="shared" ca="1" si="3"/>
        <v>270000</v>
      </c>
      <c r="J18" s="22">
        <f t="shared" ca="1" si="3"/>
        <v>270000</v>
      </c>
      <c r="K18" s="22">
        <f t="shared" ca="1" si="3"/>
        <v>270000</v>
      </c>
      <c r="L18" s="23">
        <f t="shared" ca="1" si="3"/>
        <v>271200</v>
      </c>
    </row>
    <row r="19" spans="1:12" x14ac:dyDescent="0.2">
      <c r="E19" s="5" t="s">
        <v>19</v>
      </c>
      <c r="F19" s="24"/>
      <c r="G19" s="29"/>
      <c r="H19" s="24"/>
      <c r="I19" s="24"/>
      <c r="J19" s="24"/>
      <c r="K19" s="24"/>
      <c r="L19" s="30"/>
    </row>
    <row r="20" spans="1:12" ht="14.25" x14ac:dyDescent="0.2">
      <c r="A20" s="59">
        <v>211</v>
      </c>
      <c r="B20" s="59">
        <v>215</v>
      </c>
      <c r="C20" s="59" t="s">
        <v>72</v>
      </c>
      <c r="E20" s="20" t="s">
        <v>27</v>
      </c>
      <c r="F20" s="25" t="s">
        <v>16</v>
      </c>
      <c r="G20" s="26">
        <f t="shared" ref="G20:L22" ca="1" si="5">VLOOKUP($C20, INDIRECT("'"&amp;$B$4&amp;"'!$B$"&amp;$A20&amp;":"&amp;"$H$"&amp;$B20), G$2, FALSE)*G$13/G$12</f>
        <v>17.191006842619746</v>
      </c>
      <c r="H20" s="27">
        <f t="shared" ca="1" si="5"/>
        <v>17.225244618395305</v>
      </c>
      <c r="I20" s="27">
        <f t="shared" ca="1" si="5"/>
        <v>17.191006842619746</v>
      </c>
      <c r="J20" s="27">
        <f t="shared" ca="1" si="5"/>
        <v>17.191006842619746</v>
      </c>
      <c r="K20" s="27">
        <f t="shared" ca="1" si="5"/>
        <v>17.19041095890411</v>
      </c>
      <c r="L20" s="28">
        <f t="shared" ca="1" si="5"/>
        <v>17.207247796278157</v>
      </c>
    </row>
    <row r="21" spans="1:12" ht="14.25" x14ac:dyDescent="0.2">
      <c r="A21" s="59">
        <v>211</v>
      </c>
      <c r="B21" s="59">
        <v>215</v>
      </c>
      <c r="C21" s="59" t="s">
        <v>73</v>
      </c>
      <c r="E21" s="20" t="s">
        <v>28</v>
      </c>
      <c r="F21" s="25" t="s">
        <v>16</v>
      </c>
      <c r="G21" s="26">
        <f t="shared" ca="1" si="5"/>
        <v>4.3460410557184748</v>
      </c>
      <c r="H21" s="27">
        <f t="shared" ca="1" si="5"/>
        <v>4.3546966731898236</v>
      </c>
      <c r="I21" s="27">
        <f t="shared" ca="1" si="5"/>
        <v>4.3460410557184748</v>
      </c>
      <c r="J21" s="27">
        <f t="shared" ca="1" si="5"/>
        <v>4.3460410557184748</v>
      </c>
      <c r="K21" s="27">
        <f t="shared" ca="1" si="5"/>
        <v>4.345890410958904</v>
      </c>
      <c r="L21" s="28">
        <f t="shared" ca="1" si="5"/>
        <v>4.3501469147894225</v>
      </c>
    </row>
    <row r="22" spans="1:12" ht="14.25" x14ac:dyDescent="0.2">
      <c r="A22" s="59">
        <v>211</v>
      </c>
      <c r="B22" s="59">
        <v>215</v>
      </c>
      <c r="C22" s="59" t="s">
        <v>74</v>
      </c>
      <c r="E22" s="20" t="s">
        <v>29</v>
      </c>
      <c r="F22" s="25" t="s">
        <v>16</v>
      </c>
      <c r="G22" s="21">
        <f t="shared" ca="1" si="5"/>
        <v>263080.35190615838</v>
      </c>
      <c r="H22" s="22">
        <f t="shared" ca="1" si="5"/>
        <v>263604.30528375733</v>
      </c>
      <c r="I22" s="22">
        <f t="shared" ca="1" si="5"/>
        <v>260762.46334310851</v>
      </c>
      <c r="J22" s="22">
        <f t="shared" ca="1" si="5"/>
        <v>260762.46334310851</v>
      </c>
      <c r="K22" s="22">
        <f t="shared" ca="1" si="5"/>
        <v>260753.42465753425</v>
      </c>
      <c r="L22" s="23">
        <f t="shared" ca="1" si="5"/>
        <v>262168.85406464251</v>
      </c>
    </row>
    <row r="23" spans="1:12" x14ac:dyDescent="0.2">
      <c r="E23" s="5" t="s">
        <v>325</v>
      </c>
      <c r="F23" s="24"/>
      <c r="G23" s="21"/>
      <c r="H23" s="22"/>
      <c r="I23" s="22"/>
      <c r="J23" s="22"/>
      <c r="K23" s="22"/>
      <c r="L23" s="23"/>
    </row>
    <row r="24" spans="1:12" ht="14.25" x14ac:dyDescent="0.2">
      <c r="A24" s="59">
        <v>226</v>
      </c>
      <c r="B24" s="59">
        <v>229</v>
      </c>
      <c r="C24" s="59" t="s">
        <v>72</v>
      </c>
      <c r="E24" s="20" t="s">
        <v>27</v>
      </c>
      <c r="F24" s="25" t="s">
        <v>16</v>
      </c>
      <c r="G24" s="26">
        <f ca="1">VLOOKUP($C24, INDIRECT("'"&amp;$B$4&amp;"'!$B$"&amp;$A24&amp;":"&amp;"$H$"&amp;$B24), G$2, FALSE)</f>
        <v>64.5</v>
      </c>
      <c r="H24" s="22">
        <f t="shared" ref="H24:L26" ca="1" si="6">VLOOKUP($C24, INDIRECT("'"&amp;$B$4&amp;"'!$B$"&amp;$A24&amp;":"&amp;"$H$"&amp;$B24), H$2, FALSE)</f>
        <v>64.5</v>
      </c>
      <c r="I24" s="22">
        <f t="shared" ca="1" si="6"/>
        <v>64.5</v>
      </c>
      <c r="J24" s="22">
        <f t="shared" ca="1" si="6"/>
        <v>64.5</v>
      </c>
      <c r="K24" s="22">
        <f t="shared" ca="1" si="6"/>
        <v>64.5</v>
      </c>
      <c r="L24" s="23">
        <f t="shared" ca="1" si="6"/>
        <v>64.5</v>
      </c>
    </row>
    <row r="25" spans="1:12" ht="14.25" x14ac:dyDescent="0.2">
      <c r="A25" s="59">
        <v>226</v>
      </c>
      <c r="B25" s="59">
        <v>229</v>
      </c>
      <c r="C25" s="59" t="s">
        <v>73</v>
      </c>
      <c r="E25" s="20" t="s">
        <v>28</v>
      </c>
      <c r="F25" s="25" t="s">
        <v>16</v>
      </c>
      <c r="G25" s="21">
        <f t="shared" ref="G25:G26" ca="1" si="7">VLOOKUP($C25, INDIRECT("'"&amp;$B$4&amp;"'!$B$"&amp;$A25&amp;":"&amp;"$H$"&amp;$B25), G$2, FALSE)</f>
        <v>3.5</v>
      </c>
      <c r="H25" s="22">
        <f t="shared" ca="1" si="6"/>
        <v>3.5</v>
      </c>
      <c r="I25" s="22">
        <f t="shared" ca="1" si="6"/>
        <v>3.4</v>
      </c>
      <c r="J25" s="22">
        <f t="shared" ca="1" si="6"/>
        <v>3.4</v>
      </c>
      <c r="K25" s="22">
        <f t="shared" ca="1" si="6"/>
        <v>3.4</v>
      </c>
      <c r="L25" s="23">
        <f t="shared" ca="1" si="6"/>
        <v>3.4</v>
      </c>
    </row>
    <row r="26" spans="1:12" ht="14.25" x14ac:dyDescent="0.2">
      <c r="A26" s="59">
        <v>226</v>
      </c>
      <c r="B26" s="59">
        <v>229</v>
      </c>
      <c r="C26" s="59" t="s">
        <v>74</v>
      </c>
      <c r="E26" s="20" t="s">
        <v>29</v>
      </c>
      <c r="F26" s="25" t="s">
        <v>16</v>
      </c>
      <c r="G26" s="21">
        <f t="shared" ca="1" si="7"/>
        <v>363200</v>
      </c>
      <c r="H26" s="22">
        <f t="shared" ca="1" si="6"/>
        <v>363200</v>
      </c>
      <c r="I26" s="22">
        <f t="shared" ca="1" si="6"/>
        <v>360000</v>
      </c>
      <c r="J26" s="22">
        <f t="shared" ca="1" si="6"/>
        <v>360000</v>
      </c>
      <c r="K26" s="22">
        <f t="shared" ca="1" si="6"/>
        <v>360000</v>
      </c>
      <c r="L26" s="23">
        <f t="shared" ca="1" si="6"/>
        <v>361600</v>
      </c>
    </row>
    <row r="27" spans="1:12" x14ac:dyDescent="0.2">
      <c r="E27" s="5" t="s">
        <v>17</v>
      </c>
      <c r="F27" s="24"/>
      <c r="G27" s="29"/>
      <c r="H27" s="24"/>
      <c r="I27" s="24"/>
      <c r="J27" s="24"/>
      <c r="K27" s="24"/>
      <c r="L27" s="30"/>
    </row>
    <row r="28" spans="1:12" ht="14.25" x14ac:dyDescent="0.2">
      <c r="A28" s="59">
        <v>226</v>
      </c>
      <c r="B28" s="59">
        <v>229</v>
      </c>
      <c r="C28" s="59" t="s">
        <v>72</v>
      </c>
      <c r="E28" s="20" t="s">
        <v>27</v>
      </c>
      <c r="F28" s="25" t="s">
        <v>16</v>
      </c>
      <c r="G28" s="26">
        <f t="shared" ref="G28:L30" ca="1" si="8">VLOOKUP($C28, INDIRECT("'"&amp;$B$4&amp;"'!$B$"&amp;$A28&amp;":"&amp;"$H$"&amp;$B28), G$2, FALSE)*G$13/G$12</f>
        <v>62.293255131964813</v>
      </c>
      <c r="H28" s="27">
        <f t="shared" ca="1" si="8"/>
        <v>62.417318982387478</v>
      </c>
      <c r="I28" s="27">
        <f t="shared" ca="1" si="8"/>
        <v>62.293255131964813</v>
      </c>
      <c r="J28" s="27">
        <f t="shared" ca="1" si="8"/>
        <v>62.293255131964813</v>
      </c>
      <c r="K28" s="27">
        <f t="shared" ca="1" si="8"/>
        <v>62.291095890410958</v>
      </c>
      <c r="L28" s="28">
        <f t="shared" ca="1" si="8"/>
        <v>62.352105778648387</v>
      </c>
    </row>
    <row r="29" spans="1:12" ht="14.25" x14ac:dyDescent="0.2">
      <c r="A29" s="59">
        <v>226</v>
      </c>
      <c r="B29" s="59">
        <v>229</v>
      </c>
      <c r="C29" s="59" t="s">
        <v>73</v>
      </c>
      <c r="E29" s="20" t="s">
        <v>28</v>
      </c>
      <c r="F29" s="25" t="s">
        <v>16</v>
      </c>
      <c r="G29" s="26">
        <f t="shared" ca="1" si="8"/>
        <v>3.3802541544477029</v>
      </c>
      <c r="H29" s="27">
        <f t="shared" ca="1" si="8"/>
        <v>3.3869863013698631</v>
      </c>
      <c r="I29" s="27">
        <f t="shared" ca="1" si="8"/>
        <v>3.2836754643206256</v>
      </c>
      <c r="J29" s="27">
        <f t="shared" ca="1" si="8"/>
        <v>3.2836754643206256</v>
      </c>
      <c r="K29" s="27">
        <f t="shared" ca="1" si="8"/>
        <v>3.2835616438356166</v>
      </c>
      <c r="L29" s="28">
        <f t="shared" ca="1" si="8"/>
        <v>3.2867776689520078</v>
      </c>
    </row>
    <row r="30" spans="1:12" ht="14.25" x14ac:dyDescent="0.2">
      <c r="A30" s="59">
        <v>226</v>
      </c>
      <c r="B30" s="59">
        <v>229</v>
      </c>
      <c r="C30" s="59" t="s">
        <v>74</v>
      </c>
      <c r="E30" s="20" t="s">
        <v>29</v>
      </c>
      <c r="F30" s="25" t="s">
        <v>16</v>
      </c>
      <c r="G30" s="21">
        <f t="shared" ca="1" si="8"/>
        <v>350773.80254154449</v>
      </c>
      <c r="H30" s="22">
        <f t="shared" ca="1" si="8"/>
        <v>351472.40704500978</v>
      </c>
      <c r="I30" s="22">
        <f t="shared" ca="1" si="8"/>
        <v>347683.28445747803</v>
      </c>
      <c r="J30" s="22">
        <f t="shared" ca="1" si="8"/>
        <v>347683.28445747803</v>
      </c>
      <c r="K30" s="22">
        <f t="shared" ca="1" si="8"/>
        <v>347671.23287671234</v>
      </c>
      <c r="L30" s="23">
        <f t="shared" ca="1" si="8"/>
        <v>349558.47208619001</v>
      </c>
    </row>
    <row r="31" spans="1:12" x14ac:dyDescent="0.2">
      <c r="E31" s="4" t="s">
        <v>21</v>
      </c>
      <c r="F31" s="25"/>
      <c r="G31" s="29"/>
      <c r="H31" s="24"/>
      <c r="I31" s="24"/>
      <c r="J31" s="24"/>
      <c r="K31" s="24"/>
      <c r="L31" s="30"/>
    </row>
    <row r="32" spans="1:12" x14ac:dyDescent="0.2">
      <c r="E32" s="31"/>
      <c r="F32" s="8"/>
      <c r="G32" s="53"/>
      <c r="H32" s="54"/>
      <c r="I32" s="54"/>
      <c r="J32" s="54"/>
      <c r="K32" s="54"/>
      <c r="L32" s="55"/>
    </row>
    <row r="33" spans="1:12" ht="25.5" x14ac:dyDescent="0.2">
      <c r="A33" s="303" t="s">
        <v>354</v>
      </c>
      <c r="B33" s="303"/>
      <c r="C33" s="303"/>
      <c r="E33" s="31" t="s">
        <v>277</v>
      </c>
      <c r="F33" s="8" t="s">
        <v>8</v>
      </c>
      <c r="G33" s="53">
        <v>325</v>
      </c>
      <c r="H33" s="54">
        <v>325</v>
      </c>
      <c r="I33" s="54">
        <v>325</v>
      </c>
      <c r="J33" s="54">
        <v>325</v>
      </c>
      <c r="K33" s="54">
        <v>325</v>
      </c>
      <c r="L33" s="55">
        <v>325</v>
      </c>
    </row>
    <row r="34" spans="1:12" ht="13.5" thickBot="1" x14ac:dyDescent="0.25">
      <c r="A34" s="59">
        <v>16</v>
      </c>
      <c r="B34" s="59">
        <v>16</v>
      </c>
      <c r="C34" s="59" t="s">
        <v>89</v>
      </c>
      <c r="E34" s="32" t="s">
        <v>7</v>
      </c>
      <c r="F34" s="52" t="s">
        <v>12</v>
      </c>
      <c r="G34" s="56">
        <f ca="1">VLOOKUP($C34, INDIRECT("'"&amp;$B$4&amp;"'!$B$"&amp;$A34&amp;":"&amp;"$H$"&amp;$B34), G$2, FALSE)</f>
        <v>4.3400000000000001E-2</v>
      </c>
      <c r="H34" s="57">
        <f t="shared" ref="H34:L34" ca="1" si="9">VLOOKUP($C34, INDIRECT("'"&amp;$B$4&amp;"'!$B$"&amp;$A34&amp;":"&amp;"$H$"&amp;$B34), H$2, FALSE)</f>
        <v>4.3400000000000001E-2</v>
      </c>
      <c r="I34" s="57">
        <f t="shared" ca="1" si="9"/>
        <v>4.3400000000000001E-2</v>
      </c>
      <c r="J34" s="57">
        <f t="shared" ca="1" si="9"/>
        <v>4.3400000000000001E-2</v>
      </c>
      <c r="K34" s="57">
        <f t="shared" ca="1" si="9"/>
        <v>4.3400000000000001E-2</v>
      </c>
      <c r="L34" s="58">
        <f t="shared" ca="1" si="9"/>
        <v>4.3400000000000001E-2</v>
      </c>
    </row>
    <row r="35" spans="1:12" ht="12.75" customHeight="1" x14ac:dyDescent="0.2">
      <c r="E35" s="6" t="s">
        <v>20</v>
      </c>
      <c r="F35" s="24"/>
      <c r="G35" s="34"/>
      <c r="H35" s="35"/>
      <c r="I35" s="35"/>
      <c r="J35" s="35"/>
      <c r="K35" s="35"/>
      <c r="L35" s="36"/>
    </row>
    <row r="36" spans="1:12" x14ac:dyDescent="0.2">
      <c r="A36" s="59">
        <v>184</v>
      </c>
      <c r="B36" s="59">
        <v>187</v>
      </c>
      <c r="C36" s="59" t="s">
        <v>166</v>
      </c>
      <c r="E36" s="20" t="s">
        <v>24</v>
      </c>
      <c r="F36" s="8" t="s">
        <v>10</v>
      </c>
      <c r="G36" s="191">
        <f ca="1">VLOOKUP($C36, INDIRECT("'"&amp;$B$4&amp;"'!$B$"&amp;$A36&amp;":"&amp;"$H$"&amp;$B36), G$2, FALSE)</f>
        <v>1.48</v>
      </c>
      <c r="H36" s="41">
        <f t="shared" ref="H36:L38" ca="1" si="10">VLOOKUP($C36, INDIRECT("'"&amp;$B$4&amp;"'!$B$"&amp;$A36&amp;":"&amp;"$H$"&amp;$B36), H$2, FALSE)</f>
        <v>1.5</v>
      </c>
      <c r="I36" s="41">
        <f t="shared" ca="1" si="10"/>
        <v>1.48</v>
      </c>
      <c r="J36" s="41">
        <f t="shared" ca="1" si="10"/>
        <v>1.48</v>
      </c>
      <c r="K36" s="41">
        <f t="shared" ca="1" si="10"/>
        <v>1.48</v>
      </c>
      <c r="L36" s="42">
        <f t="shared" ca="1" si="10"/>
        <v>1.48</v>
      </c>
    </row>
    <row r="37" spans="1:12" x14ac:dyDescent="0.2">
      <c r="A37" s="59">
        <v>190</v>
      </c>
      <c r="B37" s="59">
        <v>193</v>
      </c>
      <c r="C37" s="59" t="s">
        <v>166</v>
      </c>
      <c r="E37" s="20" t="s">
        <v>25</v>
      </c>
      <c r="F37" s="8" t="s">
        <v>10</v>
      </c>
      <c r="G37" s="40">
        <f t="shared" ref="G37:G38" ca="1" si="11">VLOOKUP($C37, INDIRECT("'"&amp;$B$4&amp;"'!$B$"&amp;$A37&amp;":"&amp;"$H$"&amp;$B37), G$2, FALSE)</f>
        <v>8.7899999999999991</v>
      </c>
      <c r="H37" s="41">
        <f t="shared" ca="1" si="10"/>
        <v>9.17</v>
      </c>
      <c r="I37" s="41">
        <f t="shared" ca="1" si="10"/>
        <v>8.8000000000000007</v>
      </c>
      <c r="J37" s="41">
        <f t="shared" ca="1" si="10"/>
        <v>8.8000000000000007</v>
      </c>
      <c r="K37" s="41">
        <f t="shared" ca="1" si="10"/>
        <v>8.8000000000000007</v>
      </c>
      <c r="L37" s="42">
        <f t="shared" ca="1" si="10"/>
        <v>8.8000000000000007</v>
      </c>
    </row>
    <row r="38" spans="1:12" ht="13.5" thickBot="1" x14ac:dyDescent="0.25">
      <c r="A38" s="59">
        <v>177</v>
      </c>
      <c r="B38" s="59">
        <v>180</v>
      </c>
      <c r="C38" s="59" t="s">
        <v>163</v>
      </c>
      <c r="E38" s="32" t="s">
        <v>6</v>
      </c>
      <c r="F38" s="33" t="s">
        <v>9</v>
      </c>
      <c r="G38" s="43">
        <f t="shared" ca="1" si="11"/>
        <v>9500</v>
      </c>
      <c r="H38" s="44">
        <f t="shared" ca="1" si="10"/>
        <v>9500</v>
      </c>
      <c r="I38" s="44">
        <f t="shared" ca="1" si="10"/>
        <v>9500</v>
      </c>
      <c r="J38" s="44">
        <f t="shared" ca="1" si="10"/>
        <v>9500</v>
      </c>
      <c r="K38" s="44">
        <f t="shared" ca="1" si="10"/>
        <v>9500</v>
      </c>
      <c r="L38" s="45">
        <f t="shared" ca="1" si="10"/>
        <v>9500</v>
      </c>
    </row>
    <row r="40" spans="1:12" x14ac:dyDescent="0.2">
      <c r="E40" s="10" t="s">
        <v>400</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13" s="59" customFormat="1" hidden="1" outlineLevel="1" x14ac:dyDescent="0.2">
      <c r="H1" s="59" t="s">
        <v>60</v>
      </c>
      <c r="I1" s="59" t="s">
        <v>61</v>
      </c>
      <c r="J1" s="59" t="s">
        <v>62</v>
      </c>
      <c r="K1" s="59" t="s">
        <v>63</v>
      </c>
      <c r="L1" s="59" t="s">
        <v>64</v>
      </c>
      <c r="M1" s="59" t="s">
        <v>65</v>
      </c>
    </row>
    <row r="2" spans="1:13" s="59" customFormat="1" hidden="1" outlineLevel="1" x14ac:dyDescent="0.2">
      <c r="H2" s="59">
        <f>MATCH(H1, '[2]1x HA.02 25ppm'!$B$6:$H$6)</f>
        <v>7</v>
      </c>
      <c r="I2" s="59">
        <f>MATCH(I1, '[2]1x HA.02 25ppm'!$B$6:$H$6)</f>
        <v>6</v>
      </c>
      <c r="J2" s="59">
        <f>MATCH(J1, '[2]1x HA.02 25ppm'!$B$6:$H$6)</f>
        <v>4</v>
      </c>
      <c r="K2" s="59">
        <f>MATCH(K1, '[2]1x HA.02 25ppm'!$B$6:$H$6)</f>
        <v>5</v>
      </c>
      <c r="L2" s="59">
        <f>MATCH(L1, '[2]1x HA.02 25ppm'!$B$6:$H$6)</f>
        <v>3</v>
      </c>
      <c r="M2" s="59">
        <f>MATCH(M1, '[2]1x HA.02 25ppm'!$B$6:$H$6)</f>
        <v>2</v>
      </c>
    </row>
    <row r="3" spans="1:13" ht="13.5" collapsed="1" thickBot="1" x14ac:dyDescent="0.25"/>
    <row r="4" spans="1:13" ht="14.25" x14ac:dyDescent="0.2">
      <c r="A4" s="60" t="s">
        <v>75</v>
      </c>
      <c r="B4" s="59" t="s">
        <v>326</v>
      </c>
      <c r="F4" s="11"/>
      <c r="G4" s="12"/>
      <c r="H4" s="297" t="s">
        <v>359</v>
      </c>
      <c r="I4" s="298"/>
      <c r="J4" s="298"/>
      <c r="K4" s="298"/>
      <c r="L4" s="298"/>
      <c r="M4" s="299"/>
    </row>
    <row r="5" spans="1:13" ht="26.25" thickBot="1" x14ac:dyDescent="0.25">
      <c r="F5" s="3" t="s">
        <v>0</v>
      </c>
      <c r="G5" s="2" t="s">
        <v>1</v>
      </c>
      <c r="H5" s="13" t="s">
        <v>3</v>
      </c>
      <c r="I5" s="13" t="s">
        <v>30</v>
      </c>
      <c r="J5" s="13" t="s">
        <v>22</v>
      </c>
      <c r="K5" s="14" t="s">
        <v>23</v>
      </c>
      <c r="L5" s="13" t="s">
        <v>4</v>
      </c>
      <c r="M5" s="15" t="s">
        <v>5</v>
      </c>
    </row>
    <row r="6" spans="1:13" ht="25.5" customHeight="1" x14ac:dyDescent="0.2">
      <c r="A6" s="189" t="s">
        <v>197</v>
      </c>
      <c r="B6" s="189" t="s">
        <v>198</v>
      </c>
      <c r="C6" s="189" t="s">
        <v>199</v>
      </c>
      <c r="D6" s="189"/>
      <c r="F6" s="4" t="s">
        <v>13</v>
      </c>
      <c r="G6" s="1"/>
      <c r="H6" s="304"/>
      <c r="I6" s="305"/>
      <c r="J6" s="305"/>
      <c r="K6" s="305"/>
      <c r="L6" s="305"/>
      <c r="M6" s="306"/>
    </row>
    <row r="7" spans="1:13" x14ac:dyDescent="0.2">
      <c r="F7" s="5" t="s">
        <v>66</v>
      </c>
      <c r="G7" s="1"/>
      <c r="H7" s="16"/>
      <c r="I7" s="17"/>
      <c r="J7" s="17"/>
      <c r="K7" s="18"/>
      <c r="L7" s="17"/>
      <c r="M7" s="19"/>
    </row>
    <row r="8" spans="1:13" x14ac:dyDescent="0.2">
      <c r="A8" s="59">
        <v>32</v>
      </c>
      <c r="B8" s="59">
        <v>40</v>
      </c>
      <c r="C8" s="59" t="s">
        <v>67</v>
      </c>
      <c r="F8" s="20" t="s">
        <v>69</v>
      </c>
      <c r="G8" s="8" t="s">
        <v>2</v>
      </c>
      <c r="H8" s="37">
        <f ca="1">VLOOKUP($C8, INDIRECT("'"&amp;$B$4&amp;"'!$B$"&amp;$A8&amp;":"&amp;"$H$"&amp;$B8), H$2, FALSE)/1000</f>
        <v>357.2</v>
      </c>
      <c r="I8" s="38">
        <f t="shared" ref="I8:M9" ca="1" si="0">VLOOKUP($C8, INDIRECT("'"&amp;$B$4&amp;"'!$B$"&amp;$A8&amp;":"&amp;"$H$"&amp;$B8), I$2, FALSE)/1000</f>
        <v>357.4</v>
      </c>
      <c r="J8" s="38">
        <f t="shared" ca="1" si="0"/>
        <v>355.1</v>
      </c>
      <c r="K8" s="38">
        <f t="shared" ca="1" si="0"/>
        <v>355</v>
      </c>
      <c r="L8" s="38">
        <f t="shared" ca="1" si="0"/>
        <v>354.3</v>
      </c>
      <c r="M8" s="39">
        <f t="shared" ca="1" si="0"/>
        <v>352.8</v>
      </c>
    </row>
    <row r="9" spans="1:13" x14ac:dyDescent="0.2">
      <c r="A9" s="59">
        <v>44</v>
      </c>
      <c r="B9" s="59">
        <v>52</v>
      </c>
      <c r="C9" s="59" t="s">
        <v>67</v>
      </c>
      <c r="F9" s="20" t="s">
        <v>70</v>
      </c>
      <c r="G9" s="8" t="s">
        <v>2</v>
      </c>
      <c r="H9" s="37">
        <f t="shared" ref="H9" ca="1" si="1">VLOOKUP($C9, INDIRECT("'"&amp;$B$4&amp;"'!$B$"&amp;$A9&amp;":"&amp;"$H$"&amp;$B9), H$2, FALSE)/1000</f>
        <v>372.2</v>
      </c>
      <c r="I9" s="38">
        <f t="shared" ca="1" si="0"/>
        <v>371.6</v>
      </c>
      <c r="J9" s="38">
        <f t="shared" ca="1" si="0"/>
        <v>370.8</v>
      </c>
      <c r="K9" s="38">
        <f t="shared" ca="1" si="0"/>
        <v>370.7</v>
      </c>
      <c r="L9" s="38">
        <f t="shared" ca="1" si="0"/>
        <v>369.9</v>
      </c>
      <c r="M9" s="39">
        <f t="shared" ca="1" si="0"/>
        <v>368.1</v>
      </c>
    </row>
    <row r="10" spans="1:13" x14ac:dyDescent="0.2">
      <c r="F10" s="20"/>
      <c r="G10" s="8"/>
      <c r="H10" s="37"/>
      <c r="I10" s="38"/>
      <c r="J10" s="38"/>
      <c r="K10" s="38"/>
      <c r="L10" s="38"/>
      <c r="M10" s="39"/>
    </row>
    <row r="11" spans="1:13" x14ac:dyDescent="0.2">
      <c r="F11" s="5" t="s">
        <v>68</v>
      </c>
      <c r="G11" s="8"/>
      <c r="H11" s="7"/>
      <c r="I11" s="8"/>
      <c r="J11" s="8"/>
      <c r="K11" s="8"/>
      <c r="L11" s="8"/>
      <c r="M11" s="9"/>
    </row>
    <row r="12" spans="1:13" x14ac:dyDescent="0.2">
      <c r="A12" s="59">
        <v>32</v>
      </c>
      <c r="B12" s="59">
        <v>40</v>
      </c>
      <c r="C12" s="59" t="s">
        <v>71</v>
      </c>
      <c r="F12" s="20" t="s">
        <v>14</v>
      </c>
      <c r="G12" s="8" t="s">
        <v>11</v>
      </c>
      <c r="H12" s="21">
        <f ca="1">VLOOKUP($C12, INDIRECT("'"&amp;$B$4&amp;"'!$B$"&amp;$A12&amp;":"&amp;"$H$"&amp;$B12), H$2, FALSE)</f>
        <v>9390</v>
      </c>
      <c r="I12" s="22">
        <f t="shared" ref="I12:M13" ca="1" si="2">VLOOKUP($C12, INDIRECT("'"&amp;$B$4&amp;"'!$B$"&amp;$A12&amp;":"&amp;"$H$"&amp;$B12), I$2, FALSE)</f>
        <v>9380</v>
      </c>
      <c r="J12" s="22">
        <f t="shared" ca="1" si="2"/>
        <v>9390</v>
      </c>
      <c r="K12" s="22">
        <f t="shared" ca="1" si="2"/>
        <v>9390</v>
      </c>
      <c r="L12" s="22">
        <f t="shared" ca="1" si="2"/>
        <v>9380</v>
      </c>
      <c r="M12" s="23">
        <f t="shared" ca="1" si="2"/>
        <v>9380</v>
      </c>
    </row>
    <row r="13" spans="1:13" x14ac:dyDescent="0.2">
      <c r="A13" s="59">
        <v>44</v>
      </c>
      <c r="B13" s="59">
        <v>52</v>
      </c>
      <c r="C13" s="59" t="s">
        <v>71</v>
      </c>
      <c r="F13" s="20" t="s">
        <v>15</v>
      </c>
      <c r="G13" s="8" t="s">
        <v>11</v>
      </c>
      <c r="H13" s="21">
        <f ca="1">VLOOKUP($C13, INDIRECT("'"&amp;$B$4&amp;"'!$B$"&amp;$A13&amp;":"&amp;"$H$"&amp;$B13), H$2, FALSE)</f>
        <v>9290</v>
      </c>
      <c r="I13" s="22">
        <f t="shared" ca="1" si="2"/>
        <v>9300</v>
      </c>
      <c r="J13" s="22">
        <f t="shared" ca="1" si="2"/>
        <v>9280</v>
      </c>
      <c r="K13" s="22">
        <f t="shared" ca="1" si="2"/>
        <v>9290</v>
      </c>
      <c r="L13" s="22">
        <f t="shared" ca="1" si="2"/>
        <v>9270</v>
      </c>
      <c r="M13" s="23">
        <f t="shared" ca="1" si="2"/>
        <v>9270</v>
      </c>
    </row>
    <row r="14" spans="1:13" x14ac:dyDescent="0.2">
      <c r="F14" s="20"/>
      <c r="G14" s="8"/>
      <c r="H14" s="21"/>
      <c r="I14" s="22"/>
      <c r="J14" s="22"/>
      <c r="K14" s="22"/>
      <c r="L14" s="22"/>
      <c r="M14" s="23"/>
    </row>
    <row r="15" spans="1:13" x14ac:dyDescent="0.2">
      <c r="F15" s="5" t="s">
        <v>18</v>
      </c>
      <c r="G15" s="24"/>
      <c r="H15" s="7"/>
      <c r="I15" s="8"/>
      <c r="J15" s="8"/>
      <c r="K15" s="8"/>
      <c r="L15" s="8"/>
      <c r="M15" s="9"/>
    </row>
    <row r="16" spans="1:13" ht="14.25" x14ac:dyDescent="0.2">
      <c r="A16" s="59">
        <v>205</v>
      </c>
      <c r="B16" s="59">
        <v>209</v>
      </c>
      <c r="C16" s="59" t="s">
        <v>72</v>
      </c>
      <c r="F16" s="20" t="s">
        <v>27</v>
      </c>
      <c r="G16" s="25" t="s">
        <v>16</v>
      </c>
      <c r="H16" s="190">
        <f ca="1">VLOOKUP($C16, INDIRECT("'"&amp;$B$4&amp;"'!$B$"&amp;$A16&amp;":"&amp;"$H$"&amp;$B16), H$2, FALSE)</f>
        <v>330.5</v>
      </c>
      <c r="I16" s="27">
        <f t="shared" ref="I16:M18" ca="1" si="3">VLOOKUP($C16, INDIRECT("'"&amp;$B$4&amp;"'!$B$"&amp;$A16&amp;":"&amp;"$H$"&amp;$B16), I$2, FALSE)</f>
        <v>330.5</v>
      </c>
      <c r="J16" s="27">
        <f t="shared" ca="1" si="3"/>
        <v>330.5</v>
      </c>
      <c r="K16" s="27">
        <f t="shared" ca="1" si="3"/>
        <v>330.5</v>
      </c>
      <c r="L16" s="27">
        <f t="shared" ca="1" si="3"/>
        <v>330.5</v>
      </c>
      <c r="M16" s="28">
        <f t="shared" ca="1" si="3"/>
        <v>330.5</v>
      </c>
    </row>
    <row r="17" spans="1:13" ht="14.25" x14ac:dyDescent="0.2">
      <c r="A17" s="59">
        <v>205</v>
      </c>
      <c r="B17" s="59">
        <v>209</v>
      </c>
      <c r="C17" s="59" t="s">
        <v>73</v>
      </c>
      <c r="F17" s="20" t="s">
        <v>28</v>
      </c>
      <c r="G17" s="25" t="s">
        <v>16</v>
      </c>
      <c r="H17" s="26">
        <f t="shared" ref="H17:H18" ca="1" si="4">VLOOKUP($C17, INDIRECT("'"&amp;$B$4&amp;"'!$B$"&amp;$A17&amp;":"&amp;"$H$"&amp;$B17), H$2, FALSE)</f>
        <v>6.8</v>
      </c>
      <c r="I17" s="27">
        <f t="shared" ca="1" si="3"/>
        <v>6.8</v>
      </c>
      <c r="J17" s="27">
        <f t="shared" ca="1" si="3"/>
        <v>6.8</v>
      </c>
      <c r="K17" s="27">
        <f t="shared" ca="1" si="3"/>
        <v>6.8</v>
      </c>
      <c r="L17" s="27">
        <f t="shared" ca="1" si="3"/>
        <v>6.8</v>
      </c>
      <c r="M17" s="28">
        <f t="shared" ca="1" si="3"/>
        <v>6.8</v>
      </c>
    </row>
    <row r="18" spans="1:13" ht="14.25" x14ac:dyDescent="0.2">
      <c r="A18" s="59">
        <v>205</v>
      </c>
      <c r="B18" s="59">
        <v>209</v>
      </c>
      <c r="C18" s="59" t="s">
        <v>74</v>
      </c>
      <c r="F18" s="20" t="s">
        <v>29</v>
      </c>
      <c r="G18" s="25" t="s">
        <v>16</v>
      </c>
      <c r="H18" s="21">
        <f t="shared" ca="1" si="4"/>
        <v>409200</v>
      </c>
      <c r="I18" s="22">
        <f t="shared" ca="1" si="3"/>
        <v>409200</v>
      </c>
      <c r="J18" s="22">
        <f t="shared" ca="1" si="3"/>
        <v>406800</v>
      </c>
      <c r="K18" s="22">
        <f t="shared" ca="1" si="3"/>
        <v>406800</v>
      </c>
      <c r="L18" s="22">
        <f t="shared" ca="1" si="3"/>
        <v>405600</v>
      </c>
      <c r="M18" s="23">
        <f t="shared" ca="1" si="3"/>
        <v>408000</v>
      </c>
    </row>
    <row r="19" spans="1:13" x14ac:dyDescent="0.2">
      <c r="F19" s="5" t="s">
        <v>19</v>
      </c>
      <c r="G19" s="24"/>
      <c r="H19" s="29"/>
      <c r="I19" s="24"/>
      <c r="J19" s="24"/>
      <c r="K19" s="24"/>
      <c r="L19" s="24"/>
      <c r="M19" s="30"/>
    </row>
    <row r="20" spans="1:13" ht="14.25" x14ac:dyDescent="0.2">
      <c r="A20" s="59">
        <v>205</v>
      </c>
      <c r="B20" s="59">
        <v>209</v>
      </c>
      <c r="C20" s="59" t="s">
        <v>72</v>
      </c>
      <c r="F20" s="20" t="s">
        <v>27</v>
      </c>
      <c r="G20" s="25" t="s">
        <v>16</v>
      </c>
      <c r="H20" s="26">
        <f t="shared" ref="H20:M22" ca="1" si="5">VLOOKUP($C20, INDIRECT("'"&amp;$B$4&amp;"'!$B$"&amp;$A20&amp;":"&amp;"$H$"&amp;$B20), H$2, FALSE)*H$13/H$12</f>
        <v>326.98029818956337</v>
      </c>
      <c r="I20" s="27">
        <f t="shared" ca="1" si="5"/>
        <v>327.68123667377398</v>
      </c>
      <c r="J20" s="27">
        <f t="shared" ca="1" si="5"/>
        <v>326.6283280085197</v>
      </c>
      <c r="K20" s="27">
        <f t="shared" ca="1" si="5"/>
        <v>326.98029818956337</v>
      </c>
      <c r="L20" s="27">
        <f t="shared" ca="1" si="5"/>
        <v>326.62420042643924</v>
      </c>
      <c r="M20" s="28">
        <f t="shared" ca="1" si="5"/>
        <v>326.62420042643924</v>
      </c>
    </row>
    <row r="21" spans="1:13" ht="14.25" x14ac:dyDescent="0.2">
      <c r="A21" s="59">
        <v>205</v>
      </c>
      <c r="B21" s="59">
        <v>209</v>
      </c>
      <c r="C21" s="59" t="s">
        <v>73</v>
      </c>
      <c r="F21" s="20" t="s">
        <v>28</v>
      </c>
      <c r="G21" s="25" t="s">
        <v>16</v>
      </c>
      <c r="H21" s="26">
        <f t="shared" ca="1" si="5"/>
        <v>6.7275825346112885</v>
      </c>
      <c r="I21" s="27">
        <f t="shared" ca="1" si="5"/>
        <v>6.7420042643923237</v>
      </c>
      <c r="J21" s="27">
        <f t="shared" ca="1" si="5"/>
        <v>6.7203407880724173</v>
      </c>
      <c r="K21" s="27">
        <f t="shared" ca="1" si="5"/>
        <v>6.7275825346112885</v>
      </c>
      <c r="L21" s="27">
        <f t="shared" ca="1" si="5"/>
        <v>6.720255863539446</v>
      </c>
      <c r="M21" s="28">
        <f t="shared" ca="1" si="5"/>
        <v>6.720255863539446</v>
      </c>
    </row>
    <row r="22" spans="1:13" ht="14.25" x14ac:dyDescent="0.2">
      <c r="A22" s="59">
        <v>205</v>
      </c>
      <c r="B22" s="59">
        <v>209</v>
      </c>
      <c r="C22" s="59" t="s">
        <v>74</v>
      </c>
      <c r="F22" s="20" t="s">
        <v>29</v>
      </c>
      <c r="G22" s="25" t="s">
        <v>16</v>
      </c>
      <c r="H22" s="21">
        <f t="shared" ca="1" si="5"/>
        <v>404842.17252396164</v>
      </c>
      <c r="I22" s="22">
        <f t="shared" ca="1" si="5"/>
        <v>405710.0213219616</v>
      </c>
      <c r="J22" s="22">
        <f t="shared" ca="1" si="5"/>
        <v>402034.50479233224</v>
      </c>
      <c r="K22" s="22">
        <f t="shared" ca="1" si="5"/>
        <v>402467.73162939295</v>
      </c>
      <c r="L22" s="22">
        <f t="shared" ca="1" si="5"/>
        <v>400843.49680170574</v>
      </c>
      <c r="M22" s="23">
        <f t="shared" ca="1" si="5"/>
        <v>403215.35181236675</v>
      </c>
    </row>
    <row r="23" spans="1:13" x14ac:dyDescent="0.2">
      <c r="F23" s="5" t="s">
        <v>325</v>
      </c>
      <c r="G23" s="24"/>
      <c r="H23" s="21"/>
      <c r="I23" s="22"/>
      <c r="J23" s="22"/>
      <c r="K23" s="22"/>
      <c r="L23" s="22"/>
      <c r="M23" s="23"/>
    </row>
    <row r="24" spans="1:13" ht="14.25" x14ac:dyDescent="0.2">
      <c r="A24" s="59">
        <v>219</v>
      </c>
      <c r="B24" s="59">
        <v>223</v>
      </c>
      <c r="C24" s="59" t="s">
        <v>72</v>
      </c>
      <c r="F24" s="20" t="s">
        <v>27</v>
      </c>
      <c r="G24" s="25" t="s">
        <v>16</v>
      </c>
      <c r="H24" s="26">
        <f ca="1">VLOOKUP($C24, INDIRECT("'"&amp;$B$4&amp;"'!$B$"&amp;$A24&amp;":"&amp;"$H$"&amp;$B24), H$2, FALSE)</f>
        <v>640</v>
      </c>
      <c r="I24" s="22">
        <f t="shared" ref="I24:M26" ca="1" si="6">VLOOKUP($C24, INDIRECT("'"&amp;$B$4&amp;"'!$B$"&amp;$A24&amp;":"&amp;"$H$"&amp;$B24), I$2, FALSE)</f>
        <v>640</v>
      </c>
      <c r="J24" s="22">
        <f t="shared" ca="1" si="6"/>
        <v>640</v>
      </c>
      <c r="K24" s="22">
        <f t="shared" ca="1" si="6"/>
        <v>640</v>
      </c>
      <c r="L24" s="22">
        <f t="shared" ca="1" si="6"/>
        <v>640</v>
      </c>
      <c r="M24" s="23">
        <f t="shared" ca="1" si="6"/>
        <v>640</v>
      </c>
    </row>
    <row r="25" spans="1:13" ht="14.25" x14ac:dyDescent="0.2">
      <c r="A25" s="59">
        <v>219</v>
      </c>
      <c r="B25" s="59">
        <v>223</v>
      </c>
      <c r="C25" s="59" t="s">
        <v>73</v>
      </c>
      <c r="F25" s="20" t="s">
        <v>28</v>
      </c>
      <c r="G25" s="25" t="s">
        <v>16</v>
      </c>
      <c r="H25" s="21">
        <f t="shared" ref="H25:H26" ca="1" si="7">VLOOKUP($C25, INDIRECT("'"&amp;$B$4&amp;"'!$B$"&amp;$A25&amp;":"&amp;"$H$"&amp;$B25), H$2, FALSE)</f>
        <v>5.2</v>
      </c>
      <c r="I25" s="22">
        <f t="shared" ca="1" si="6"/>
        <v>5.2</v>
      </c>
      <c r="J25" s="22">
        <f t="shared" ca="1" si="6"/>
        <v>5.2</v>
      </c>
      <c r="K25" s="22">
        <f t="shared" ca="1" si="6"/>
        <v>5.2</v>
      </c>
      <c r="L25" s="22">
        <f t="shared" ca="1" si="6"/>
        <v>5.0999999999999996</v>
      </c>
      <c r="M25" s="23">
        <f t="shared" ca="1" si="6"/>
        <v>5.2</v>
      </c>
    </row>
    <row r="26" spans="1:13" ht="14.25" x14ac:dyDescent="0.2">
      <c r="A26" s="59">
        <v>219</v>
      </c>
      <c r="B26" s="59">
        <v>223</v>
      </c>
      <c r="C26" s="59" t="s">
        <v>74</v>
      </c>
      <c r="F26" s="20" t="s">
        <v>29</v>
      </c>
      <c r="G26" s="25" t="s">
        <v>16</v>
      </c>
      <c r="H26" s="21">
        <f t="shared" ca="1" si="7"/>
        <v>545600</v>
      </c>
      <c r="I26" s="22">
        <f t="shared" ca="1" si="6"/>
        <v>545600</v>
      </c>
      <c r="J26" s="22">
        <f t="shared" ca="1" si="6"/>
        <v>542400</v>
      </c>
      <c r="K26" s="22">
        <f t="shared" ca="1" si="6"/>
        <v>542400</v>
      </c>
      <c r="L26" s="22">
        <f t="shared" ca="1" si="6"/>
        <v>540800</v>
      </c>
      <c r="M26" s="23">
        <f t="shared" ca="1" si="6"/>
        <v>544000</v>
      </c>
    </row>
    <row r="27" spans="1:13" x14ac:dyDescent="0.2">
      <c r="F27" s="5" t="s">
        <v>17</v>
      </c>
      <c r="G27" s="24"/>
      <c r="H27" s="29"/>
      <c r="I27" s="24"/>
      <c r="J27" s="24"/>
      <c r="K27" s="24"/>
      <c r="L27" s="24"/>
      <c r="M27" s="30"/>
    </row>
    <row r="28" spans="1:13" ht="14.25" x14ac:dyDescent="0.2">
      <c r="A28" s="59">
        <v>219</v>
      </c>
      <c r="B28" s="59">
        <v>223</v>
      </c>
      <c r="C28" s="59" t="s">
        <v>72</v>
      </c>
      <c r="F28" s="20" t="s">
        <v>27</v>
      </c>
      <c r="G28" s="25" t="s">
        <v>16</v>
      </c>
      <c r="H28" s="26">
        <f t="shared" ref="H28:M30" ca="1" si="8">VLOOKUP($C28, INDIRECT("'"&amp;$B$4&amp;"'!$B$"&amp;$A28&amp;":"&amp;"$H$"&amp;$B28), H$2, FALSE)*H$13/H$12</f>
        <v>633.18423855165065</v>
      </c>
      <c r="I28" s="27">
        <f t="shared" ca="1" si="8"/>
        <v>634.54157782515995</v>
      </c>
      <c r="J28" s="27">
        <f t="shared" ca="1" si="8"/>
        <v>632.50266240681572</v>
      </c>
      <c r="K28" s="27">
        <f t="shared" ca="1" si="8"/>
        <v>633.18423855165065</v>
      </c>
      <c r="L28" s="27">
        <f t="shared" ca="1" si="8"/>
        <v>632.49466950959493</v>
      </c>
      <c r="M28" s="28">
        <f t="shared" ca="1" si="8"/>
        <v>632.49466950959493</v>
      </c>
    </row>
    <row r="29" spans="1:13" ht="14.25" x14ac:dyDescent="0.2">
      <c r="A29" s="59">
        <v>219</v>
      </c>
      <c r="B29" s="59">
        <v>223</v>
      </c>
      <c r="C29" s="59" t="s">
        <v>73</v>
      </c>
      <c r="F29" s="20" t="s">
        <v>28</v>
      </c>
      <c r="G29" s="25" t="s">
        <v>16</v>
      </c>
      <c r="H29" s="26">
        <f t="shared" ca="1" si="8"/>
        <v>5.1446219382321621</v>
      </c>
      <c r="I29" s="27">
        <f t="shared" ca="1" si="8"/>
        <v>5.1556503198294239</v>
      </c>
      <c r="J29" s="27">
        <f t="shared" ca="1" si="8"/>
        <v>5.1390841320553777</v>
      </c>
      <c r="K29" s="27">
        <f t="shared" ca="1" si="8"/>
        <v>5.1446219382321621</v>
      </c>
      <c r="L29" s="27">
        <f t="shared" ca="1" si="8"/>
        <v>5.0401918976545845</v>
      </c>
      <c r="M29" s="28">
        <f t="shared" ca="1" si="8"/>
        <v>5.1390191897654587</v>
      </c>
    </row>
    <row r="30" spans="1:13" ht="14.25" x14ac:dyDescent="0.2">
      <c r="A30" s="59">
        <v>219</v>
      </c>
      <c r="B30" s="59">
        <v>223</v>
      </c>
      <c r="C30" s="59" t="s">
        <v>74</v>
      </c>
      <c r="F30" s="20" t="s">
        <v>29</v>
      </c>
      <c r="G30" s="25" t="s">
        <v>16</v>
      </c>
      <c r="H30" s="21">
        <f t="shared" ca="1" si="8"/>
        <v>539789.56336528226</v>
      </c>
      <c r="I30" s="22">
        <f t="shared" ca="1" si="8"/>
        <v>540946.69509594887</v>
      </c>
      <c r="J30" s="22">
        <f t="shared" ca="1" si="8"/>
        <v>536046.00638977636</v>
      </c>
      <c r="K30" s="22">
        <f t="shared" ca="1" si="8"/>
        <v>536623.64217252401</v>
      </c>
      <c r="L30" s="22">
        <f t="shared" ca="1" si="8"/>
        <v>534457.99573560769</v>
      </c>
      <c r="M30" s="23">
        <f t="shared" ca="1" si="8"/>
        <v>537620.46908315562</v>
      </c>
    </row>
    <row r="31" spans="1:13" x14ac:dyDescent="0.2">
      <c r="F31" s="4" t="s">
        <v>21</v>
      </c>
      <c r="G31" s="25"/>
      <c r="H31" s="29"/>
      <c r="I31" s="24"/>
      <c r="J31" s="24"/>
      <c r="K31" s="24"/>
      <c r="L31" s="24"/>
      <c r="M31" s="30"/>
    </row>
    <row r="32" spans="1:13" x14ac:dyDescent="0.2">
      <c r="F32" s="31"/>
      <c r="G32" s="8"/>
      <c r="H32" s="53"/>
      <c r="I32" s="54"/>
      <c r="J32" s="54"/>
      <c r="K32" s="54"/>
      <c r="L32" s="54"/>
      <c r="M32" s="55"/>
    </row>
    <row r="33" spans="1:13" ht="25.5" x14ac:dyDescent="0.2">
      <c r="A33" s="303" t="s">
        <v>354</v>
      </c>
      <c r="B33" s="303"/>
      <c r="C33" s="303"/>
      <c r="D33" s="271"/>
      <c r="F33" s="31" t="s">
        <v>277</v>
      </c>
      <c r="G33" s="8" t="s">
        <v>8</v>
      </c>
      <c r="H33" s="53">
        <v>490</v>
      </c>
      <c r="I33" s="54">
        <v>490</v>
      </c>
      <c r="J33" s="54">
        <v>490</v>
      </c>
      <c r="K33" s="54">
        <v>490</v>
      </c>
      <c r="L33" s="54">
        <v>490</v>
      </c>
      <c r="M33" s="55">
        <v>490</v>
      </c>
    </row>
    <row r="34" spans="1:13" ht="13.5" thickBot="1" x14ac:dyDescent="0.25">
      <c r="A34" s="59">
        <v>16</v>
      </c>
      <c r="B34" s="59">
        <v>16</v>
      </c>
      <c r="C34" s="59" t="s">
        <v>89</v>
      </c>
      <c r="F34" s="32" t="s">
        <v>7</v>
      </c>
      <c r="G34" s="52" t="s">
        <v>12</v>
      </c>
      <c r="H34" s="56">
        <f ca="1">VLOOKUP($C34, INDIRECT("'"&amp;$B$4&amp;"'!$B$"&amp;$A34&amp;":"&amp;"$H$"&amp;$B34), H$2, FALSE)</f>
        <v>4.3400000000000001E-2</v>
      </c>
      <c r="I34" s="57">
        <f t="shared" ref="I34:M34" ca="1" si="9">VLOOKUP($C34, INDIRECT("'"&amp;$B$4&amp;"'!$B$"&amp;$A34&amp;":"&amp;"$H$"&amp;$B34), I$2, FALSE)</f>
        <v>4.3400000000000001E-2</v>
      </c>
      <c r="J34" s="57">
        <f t="shared" ca="1" si="9"/>
        <v>4.3400000000000001E-2</v>
      </c>
      <c r="K34" s="57">
        <f t="shared" ca="1" si="9"/>
        <v>4.3400000000000001E-2</v>
      </c>
      <c r="L34" s="57">
        <f t="shared" ca="1" si="9"/>
        <v>4.3400000000000001E-2</v>
      </c>
      <c r="M34" s="58">
        <f t="shared" ca="1" si="9"/>
        <v>4.3400000000000001E-2</v>
      </c>
    </row>
    <row r="35" spans="1:13" ht="12.75" customHeight="1" x14ac:dyDescent="0.2">
      <c r="F35" s="6" t="s">
        <v>20</v>
      </c>
      <c r="G35" s="24"/>
      <c r="H35" s="34"/>
      <c r="I35" s="35"/>
      <c r="J35" s="35"/>
      <c r="K35" s="35"/>
      <c r="L35" s="35"/>
      <c r="M35" s="36"/>
    </row>
    <row r="36" spans="1:13" x14ac:dyDescent="0.2">
      <c r="A36" s="59">
        <v>184</v>
      </c>
      <c r="B36" s="59">
        <v>187</v>
      </c>
      <c r="C36" s="59" t="s">
        <v>166</v>
      </c>
      <c r="D36" s="59" t="s">
        <v>168</v>
      </c>
      <c r="F36" s="20" t="s">
        <v>24</v>
      </c>
      <c r="G36" s="8" t="s">
        <v>10</v>
      </c>
      <c r="H36" s="191">
        <f ca="1">VLOOKUP($C36, INDIRECT("'"&amp;$B$4&amp;"'!$B$"&amp;$A36&amp;":"&amp;"$H$"&amp;$B36), H$2, FALSE)-VLOOKUP($D36, INDIRECT("'"&amp;$B$4&amp;"'!$B$"&amp;$A36&amp;":"&amp;"$H$"&amp;$B36), H$2, FALSE)</f>
        <v>0.9</v>
      </c>
      <c r="I36" s="41">
        <f t="shared" ref="I36:M37" ca="1" si="10">VLOOKUP($C36, INDIRECT("'"&amp;$B$4&amp;"'!$B$"&amp;$A36&amp;":"&amp;"$H$"&amp;$B36), I$2, FALSE)-VLOOKUP($D36, INDIRECT("'"&amp;$B$4&amp;"'!$B$"&amp;$A36&amp;":"&amp;"$H$"&amp;$B36), I$2, FALSE)</f>
        <v>0.90999999999999992</v>
      </c>
      <c r="J36" s="41">
        <f t="shared" ca="1" si="10"/>
        <v>0.9</v>
      </c>
      <c r="K36" s="41">
        <f t="shared" ca="1" si="10"/>
        <v>0.9</v>
      </c>
      <c r="L36" s="41">
        <f t="shared" ca="1" si="10"/>
        <v>0.9</v>
      </c>
      <c r="M36" s="42">
        <f t="shared" ca="1" si="10"/>
        <v>0.90000000000000013</v>
      </c>
    </row>
    <row r="37" spans="1:13" x14ac:dyDescent="0.2">
      <c r="A37" s="59">
        <v>190</v>
      </c>
      <c r="B37" s="59">
        <v>193</v>
      </c>
      <c r="C37" s="59" t="s">
        <v>166</v>
      </c>
      <c r="D37" s="59" t="s">
        <v>168</v>
      </c>
      <c r="F37" s="20" t="s">
        <v>25</v>
      </c>
      <c r="G37" s="8" t="s">
        <v>10</v>
      </c>
      <c r="H37" s="40">
        <f t="shared" ref="H37" ca="1" si="11">VLOOKUP($C37, INDIRECT("'"&amp;$B$4&amp;"'!$B$"&amp;$A37&amp;":"&amp;"$H$"&amp;$B37), H$2, FALSE)-VLOOKUP($D37, INDIRECT("'"&amp;$B$4&amp;"'!$B$"&amp;$A37&amp;":"&amp;"$H$"&amp;$B37), H$2, FALSE)</f>
        <v>8</v>
      </c>
      <c r="I37" s="41">
        <f t="shared" ca="1" si="10"/>
        <v>10.74</v>
      </c>
      <c r="J37" s="41">
        <f t="shared" ca="1" si="10"/>
        <v>8</v>
      </c>
      <c r="K37" s="41">
        <f t="shared" ca="1" si="10"/>
        <v>8</v>
      </c>
      <c r="L37" s="41">
        <f t="shared" ca="1" si="10"/>
        <v>8</v>
      </c>
      <c r="M37" s="42">
        <f t="shared" ca="1" si="10"/>
        <v>8</v>
      </c>
    </row>
    <row r="38" spans="1:13" ht="13.5" thickBot="1" x14ac:dyDescent="0.25">
      <c r="A38" s="59">
        <v>177</v>
      </c>
      <c r="B38" s="59">
        <v>180</v>
      </c>
      <c r="C38" s="59" t="s">
        <v>163</v>
      </c>
      <c r="F38" s="32" t="s">
        <v>6</v>
      </c>
      <c r="G38" s="33" t="s">
        <v>9</v>
      </c>
      <c r="H38" s="43">
        <f t="shared" ref="H38" ca="1" si="12">VLOOKUP($C38, INDIRECT("'"&amp;$B$4&amp;"'!$B$"&amp;$A38&amp;":"&amp;"$H$"&amp;$B38), H$2, FALSE)</f>
        <v>16200</v>
      </c>
      <c r="I38" s="44">
        <f t="shared" ref="I38:M38" ca="1" si="13">VLOOKUP($C38, INDIRECT("'"&amp;$B$4&amp;"'!$B$"&amp;$A38&amp;":"&amp;"$H$"&amp;$B38), I$2, FALSE)</f>
        <v>16200</v>
      </c>
      <c r="J38" s="44">
        <f t="shared" ca="1" si="13"/>
        <v>16200</v>
      </c>
      <c r="K38" s="44">
        <f t="shared" ca="1" si="13"/>
        <v>16200</v>
      </c>
      <c r="L38" s="44">
        <f t="shared" ca="1" si="13"/>
        <v>16200</v>
      </c>
      <c r="M38" s="45">
        <f t="shared" ca="1" si="13"/>
        <v>16200</v>
      </c>
    </row>
    <row r="40" spans="1:13" x14ac:dyDescent="0.2">
      <c r="F40" s="10" t="s">
        <v>400</v>
      </c>
    </row>
  </sheetData>
  <mergeCells count="3">
    <mergeCell ref="H4:M4"/>
    <mergeCell ref="H6:M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tabSelected="1" workbookViewId="0"/>
  </sheetViews>
  <sheetFormatPr defaultRowHeight="12.75" x14ac:dyDescent="0.2"/>
  <cols>
    <col min="1" max="1" width="13.6640625" bestFit="1" customWidth="1"/>
    <col min="2" max="2" width="10.33203125" bestFit="1" customWidth="1"/>
    <col min="3" max="4" width="12.1640625" bestFit="1" customWidth="1"/>
    <col min="5" max="5" width="13.6640625" bestFit="1" customWidth="1"/>
    <col min="6" max="6" width="16" bestFit="1" customWidth="1"/>
    <col min="7" max="7" width="13" bestFit="1" customWidth="1"/>
    <col min="8" max="8" width="15.5" bestFit="1" customWidth="1"/>
  </cols>
  <sheetData>
    <row r="1" spans="1:4" x14ac:dyDescent="0.2">
      <c r="A1" t="s">
        <v>323</v>
      </c>
      <c r="B1" t="s">
        <v>58</v>
      </c>
      <c r="C1" t="s">
        <v>347</v>
      </c>
      <c r="D1" t="s">
        <v>348</v>
      </c>
    </row>
    <row r="2" spans="1:4" x14ac:dyDescent="0.2">
      <c r="A2" t="s">
        <v>26</v>
      </c>
      <c r="B2" t="s">
        <v>382</v>
      </c>
      <c r="C2" t="s">
        <v>26</v>
      </c>
      <c r="D2" t="s">
        <v>26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L40"/>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2" s="59" customFormat="1" hidden="1" outlineLevel="1" x14ac:dyDescent="0.2">
      <c r="G1" s="59" t="s">
        <v>60</v>
      </c>
      <c r="H1" s="59" t="s">
        <v>61</v>
      </c>
      <c r="I1" s="59" t="s">
        <v>62</v>
      </c>
      <c r="J1" s="59" t="s">
        <v>63</v>
      </c>
      <c r="K1" s="59" t="s">
        <v>64</v>
      </c>
      <c r="L1" s="59" t="s">
        <v>65</v>
      </c>
    </row>
    <row r="2" spans="1:12" s="59" customFormat="1" hidden="1" outlineLevel="1" x14ac:dyDescent="0.2">
      <c r="G2" s="59">
        <f>MATCH(G1, '[2]1x HA.02 25ppm'!$B$6:$H$6)</f>
        <v>7</v>
      </c>
      <c r="H2" s="59">
        <f>MATCH(H1, '[2]1x HA.02 25ppm'!$B$6:$H$6)</f>
        <v>6</v>
      </c>
      <c r="I2" s="59">
        <f>MATCH(I1, '[2]1x HA.02 25ppm'!$B$6:$H$6)</f>
        <v>4</v>
      </c>
      <c r="J2" s="59">
        <f>MATCH(J1, '[2]1x HA.02 25ppm'!$B$6:$H$6)</f>
        <v>5</v>
      </c>
      <c r="K2" s="59">
        <f>MATCH(K1, '[2]1x HA.02 25ppm'!$B$6:$H$6)</f>
        <v>3</v>
      </c>
      <c r="L2" s="59">
        <f>MATCH(L1, '[2]1x HA.02 25ppm'!$B$6:$H$6)</f>
        <v>2</v>
      </c>
    </row>
    <row r="3" spans="1:12" ht="13.5" collapsed="1" thickBot="1" x14ac:dyDescent="0.25"/>
    <row r="4" spans="1:12" ht="14.25" x14ac:dyDescent="0.2">
      <c r="A4" s="60" t="s">
        <v>75</v>
      </c>
      <c r="B4" s="59" t="s">
        <v>326</v>
      </c>
      <c r="E4" s="11"/>
      <c r="F4" s="12"/>
      <c r="G4" s="297" t="s">
        <v>363</v>
      </c>
      <c r="H4" s="298"/>
      <c r="I4" s="298"/>
      <c r="J4" s="298"/>
      <c r="K4" s="298"/>
      <c r="L4" s="299"/>
    </row>
    <row r="5" spans="1:12" ht="26.25" thickBot="1" x14ac:dyDescent="0.25">
      <c r="E5" s="3" t="s">
        <v>0</v>
      </c>
      <c r="F5" s="2" t="s">
        <v>1</v>
      </c>
      <c r="G5" s="13" t="s">
        <v>3</v>
      </c>
      <c r="H5" s="13" t="s">
        <v>30</v>
      </c>
      <c r="I5" s="13" t="s">
        <v>22</v>
      </c>
      <c r="J5" s="14" t="s">
        <v>23</v>
      </c>
      <c r="K5" s="13" t="s">
        <v>4</v>
      </c>
      <c r="L5" s="15" t="s">
        <v>5</v>
      </c>
    </row>
    <row r="6" spans="1:12" ht="25.5" customHeight="1" x14ac:dyDescent="0.2">
      <c r="A6" s="189" t="s">
        <v>197</v>
      </c>
      <c r="B6" s="189" t="s">
        <v>198</v>
      </c>
      <c r="C6" s="189" t="s">
        <v>199</v>
      </c>
      <c r="E6" s="4" t="s">
        <v>13</v>
      </c>
      <c r="F6" s="1"/>
      <c r="G6" s="304"/>
      <c r="H6" s="305"/>
      <c r="I6" s="305"/>
      <c r="J6" s="305"/>
      <c r="K6" s="305"/>
      <c r="L6" s="306"/>
    </row>
    <row r="7" spans="1:12" x14ac:dyDescent="0.2">
      <c r="E7" s="5" t="s">
        <v>66</v>
      </c>
      <c r="F7" s="1"/>
      <c r="G7" s="16"/>
      <c r="H7" s="17"/>
      <c r="I7" s="17"/>
      <c r="J7" s="18"/>
      <c r="K7" s="17"/>
      <c r="L7" s="19"/>
    </row>
    <row r="8" spans="1:12" x14ac:dyDescent="0.2">
      <c r="A8" s="59">
        <v>32</v>
      </c>
      <c r="B8" s="59">
        <v>40</v>
      </c>
      <c r="C8" s="59" t="s">
        <v>67</v>
      </c>
      <c r="E8" s="20" t="s">
        <v>69</v>
      </c>
      <c r="F8" s="8" t="s">
        <v>2</v>
      </c>
      <c r="G8" s="37">
        <f ca="1">VLOOKUP($C8, INDIRECT("'"&amp;$B$4&amp;"'!$B$"&amp;$A8&amp;":"&amp;"$H$"&amp;$B8), G$2, FALSE)/1000</f>
        <v>357.2</v>
      </c>
      <c r="H8" s="38">
        <f t="shared" ref="H8:L9" ca="1" si="0">VLOOKUP($C8, INDIRECT("'"&amp;$B$4&amp;"'!$B$"&amp;$A8&amp;":"&amp;"$H$"&amp;$B8), H$2, FALSE)/1000</f>
        <v>357.4</v>
      </c>
      <c r="I8" s="38">
        <f t="shared" ca="1" si="0"/>
        <v>355.1</v>
      </c>
      <c r="J8" s="38">
        <f t="shared" ca="1" si="0"/>
        <v>355</v>
      </c>
      <c r="K8" s="38">
        <f t="shared" ca="1" si="0"/>
        <v>354.3</v>
      </c>
      <c r="L8" s="39">
        <f t="shared" ca="1" si="0"/>
        <v>352.8</v>
      </c>
    </row>
    <row r="9" spans="1:12" x14ac:dyDescent="0.2">
      <c r="A9" s="59">
        <v>44</v>
      </c>
      <c r="B9" s="59">
        <v>52</v>
      </c>
      <c r="C9" s="59" t="s">
        <v>67</v>
      </c>
      <c r="E9" s="20" t="s">
        <v>70</v>
      </c>
      <c r="F9" s="8" t="s">
        <v>2</v>
      </c>
      <c r="G9" s="37">
        <f t="shared" ref="G9" ca="1" si="1">VLOOKUP($C9, INDIRECT("'"&amp;$B$4&amp;"'!$B$"&amp;$A9&amp;":"&amp;"$H$"&amp;$B9), G$2, FALSE)/1000</f>
        <v>372.2</v>
      </c>
      <c r="H9" s="38">
        <f t="shared" ca="1" si="0"/>
        <v>371.6</v>
      </c>
      <c r="I9" s="38">
        <f t="shared" ca="1" si="0"/>
        <v>370.8</v>
      </c>
      <c r="J9" s="38">
        <f t="shared" ca="1" si="0"/>
        <v>370.7</v>
      </c>
      <c r="K9" s="38">
        <f t="shared" ca="1" si="0"/>
        <v>369.9</v>
      </c>
      <c r="L9" s="39">
        <f t="shared" ca="1" si="0"/>
        <v>368.1</v>
      </c>
    </row>
    <row r="10" spans="1:12" x14ac:dyDescent="0.2">
      <c r="E10" s="20"/>
      <c r="F10" s="8"/>
      <c r="G10" s="37"/>
      <c r="H10" s="38"/>
      <c r="I10" s="38"/>
      <c r="J10" s="38"/>
      <c r="K10" s="38"/>
      <c r="L10" s="39"/>
    </row>
    <row r="11" spans="1:12" x14ac:dyDescent="0.2">
      <c r="E11" s="5" t="s">
        <v>68</v>
      </c>
      <c r="F11" s="8"/>
      <c r="G11" s="7"/>
      <c r="H11" s="8"/>
      <c r="I11" s="8"/>
      <c r="J11" s="8"/>
      <c r="K11" s="8"/>
      <c r="L11" s="9"/>
    </row>
    <row r="12" spans="1:12" x14ac:dyDescent="0.2">
      <c r="A12" s="59">
        <v>32</v>
      </c>
      <c r="B12" s="59">
        <v>40</v>
      </c>
      <c r="C12" s="59" t="s">
        <v>71</v>
      </c>
      <c r="E12" s="20" t="s">
        <v>14</v>
      </c>
      <c r="F12" s="8" t="s">
        <v>11</v>
      </c>
      <c r="G12" s="21">
        <f ca="1">VLOOKUP($C12, INDIRECT("'"&amp;$B$4&amp;"'!$B$"&amp;$A12&amp;":"&amp;"$H$"&amp;$B12), G$2, FALSE)</f>
        <v>9390</v>
      </c>
      <c r="H12" s="22">
        <f t="shared" ref="H12:L13" ca="1" si="2">VLOOKUP($C12, INDIRECT("'"&amp;$B$4&amp;"'!$B$"&amp;$A12&amp;":"&amp;"$H$"&amp;$B12), H$2, FALSE)</f>
        <v>9380</v>
      </c>
      <c r="I12" s="22">
        <f t="shared" ca="1" si="2"/>
        <v>9390</v>
      </c>
      <c r="J12" s="22">
        <f t="shared" ca="1" si="2"/>
        <v>9390</v>
      </c>
      <c r="K12" s="22">
        <f t="shared" ca="1" si="2"/>
        <v>9380</v>
      </c>
      <c r="L12" s="23">
        <f t="shared" ca="1" si="2"/>
        <v>9380</v>
      </c>
    </row>
    <row r="13" spans="1:12" x14ac:dyDescent="0.2">
      <c r="A13" s="59">
        <v>44</v>
      </c>
      <c r="B13" s="59">
        <v>52</v>
      </c>
      <c r="C13" s="59" t="s">
        <v>71</v>
      </c>
      <c r="E13" s="20" t="s">
        <v>15</v>
      </c>
      <c r="F13" s="8" t="s">
        <v>11</v>
      </c>
      <c r="G13" s="21">
        <f ca="1">VLOOKUP($C13, INDIRECT("'"&amp;$B$4&amp;"'!$B$"&amp;$A13&amp;":"&amp;"$H$"&amp;$B13), G$2, FALSE)</f>
        <v>9290</v>
      </c>
      <c r="H13" s="22">
        <f t="shared" ca="1" si="2"/>
        <v>9300</v>
      </c>
      <c r="I13" s="22">
        <f t="shared" ca="1" si="2"/>
        <v>9280</v>
      </c>
      <c r="J13" s="22">
        <f t="shared" ca="1" si="2"/>
        <v>9290</v>
      </c>
      <c r="K13" s="22">
        <f t="shared" ca="1" si="2"/>
        <v>9270</v>
      </c>
      <c r="L13" s="23">
        <f t="shared" ca="1" si="2"/>
        <v>9270</v>
      </c>
    </row>
    <row r="14" spans="1:12" x14ac:dyDescent="0.2">
      <c r="E14" s="20"/>
      <c r="F14" s="8"/>
      <c r="G14" s="21"/>
      <c r="H14" s="22"/>
      <c r="I14" s="22"/>
      <c r="J14" s="22"/>
      <c r="K14" s="22"/>
      <c r="L14" s="23"/>
    </row>
    <row r="15" spans="1:12" x14ac:dyDescent="0.2">
      <c r="E15" s="5" t="s">
        <v>18</v>
      </c>
      <c r="F15" s="24"/>
      <c r="G15" s="7"/>
      <c r="H15" s="8"/>
      <c r="I15" s="8"/>
      <c r="J15" s="8"/>
      <c r="K15" s="8"/>
      <c r="L15" s="9"/>
    </row>
    <row r="16" spans="1:12" ht="14.25" x14ac:dyDescent="0.2">
      <c r="A16" s="59">
        <v>211</v>
      </c>
      <c r="B16" s="59">
        <v>215</v>
      </c>
      <c r="C16" s="59" t="s">
        <v>72</v>
      </c>
      <c r="E16" s="20" t="s">
        <v>27</v>
      </c>
      <c r="F16" s="25" t="s">
        <v>16</v>
      </c>
      <c r="G16" s="190">
        <f ca="1">VLOOKUP($C16, INDIRECT("'"&amp;$B$4&amp;"'!$B$"&amp;$A16&amp;":"&amp;"$H$"&amp;$B16), G$2, FALSE)</f>
        <v>26.4</v>
      </c>
      <c r="H16" s="27">
        <f t="shared" ref="H16:L18" ca="1" si="3">VLOOKUP($C16, INDIRECT("'"&amp;$B$4&amp;"'!$B$"&amp;$A16&amp;":"&amp;"$H$"&amp;$B16), H$2, FALSE)</f>
        <v>26.4</v>
      </c>
      <c r="I16" s="27">
        <f t="shared" ca="1" si="3"/>
        <v>26.4</v>
      </c>
      <c r="J16" s="27">
        <f t="shared" ca="1" si="3"/>
        <v>26.4</v>
      </c>
      <c r="K16" s="27">
        <f t="shared" ca="1" si="3"/>
        <v>26.4</v>
      </c>
      <c r="L16" s="28">
        <f t="shared" ca="1" si="3"/>
        <v>26.4</v>
      </c>
    </row>
    <row r="17" spans="1:12" ht="14.25" x14ac:dyDescent="0.2">
      <c r="A17" s="59">
        <v>211</v>
      </c>
      <c r="B17" s="59">
        <v>215</v>
      </c>
      <c r="C17" s="59" t="s">
        <v>73</v>
      </c>
      <c r="E17" s="20" t="s">
        <v>28</v>
      </c>
      <c r="F17" s="25" t="s">
        <v>16</v>
      </c>
      <c r="G17" s="26">
        <f t="shared" ref="G17:G18" ca="1" si="4">VLOOKUP($C17, INDIRECT("'"&amp;$B$4&amp;"'!$B$"&amp;$A17&amp;":"&amp;"$H$"&amp;$B17), G$2, FALSE)</f>
        <v>6.8</v>
      </c>
      <c r="H17" s="27">
        <f t="shared" ca="1" si="3"/>
        <v>6.8</v>
      </c>
      <c r="I17" s="27">
        <f t="shared" ca="1" si="3"/>
        <v>6.8</v>
      </c>
      <c r="J17" s="27">
        <f t="shared" ca="1" si="3"/>
        <v>6.8</v>
      </c>
      <c r="K17" s="27">
        <f t="shared" ca="1" si="3"/>
        <v>6.8</v>
      </c>
      <c r="L17" s="28">
        <f t="shared" ca="1" si="3"/>
        <v>6.8</v>
      </c>
    </row>
    <row r="18" spans="1:12" ht="14.25" x14ac:dyDescent="0.2">
      <c r="A18" s="59">
        <v>211</v>
      </c>
      <c r="B18" s="59">
        <v>215</v>
      </c>
      <c r="C18" s="59" t="s">
        <v>74</v>
      </c>
      <c r="E18" s="20" t="s">
        <v>29</v>
      </c>
      <c r="F18" s="25" t="s">
        <v>16</v>
      </c>
      <c r="G18" s="21">
        <f t="shared" ca="1" si="4"/>
        <v>409200</v>
      </c>
      <c r="H18" s="22">
        <f t="shared" ca="1" si="3"/>
        <v>409200</v>
      </c>
      <c r="I18" s="22">
        <f t="shared" ca="1" si="3"/>
        <v>406800</v>
      </c>
      <c r="J18" s="22">
        <f t="shared" ca="1" si="3"/>
        <v>406800</v>
      </c>
      <c r="K18" s="22">
        <f t="shared" ca="1" si="3"/>
        <v>405600</v>
      </c>
      <c r="L18" s="23">
        <f t="shared" ca="1" si="3"/>
        <v>408000</v>
      </c>
    </row>
    <row r="19" spans="1:12" x14ac:dyDescent="0.2">
      <c r="E19" s="5" t="s">
        <v>19</v>
      </c>
      <c r="F19" s="24"/>
      <c r="G19" s="29"/>
      <c r="H19" s="24"/>
      <c r="I19" s="24"/>
      <c r="J19" s="24"/>
      <c r="K19" s="24"/>
      <c r="L19" s="30"/>
    </row>
    <row r="20" spans="1:12" ht="14.25" x14ac:dyDescent="0.2">
      <c r="A20" s="59">
        <v>211</v>
      </c>
      <c r="B20" s="59">
        <v>215</v>
      </c>
      <c r="C20" s="59" t="s">
        <v>72</v>
      </c>
      <c r="E20" s="20" t="s">
        <v>27</v>
      </c>
      <c r="F20" s="25" t="s">
        <v>16</v>
      </c>
      <c r="G20" s="26">
        <f t="shared" ref="G20:L22" ca="1" si="5">VLOOKUP($C20, INDIRECT("'"&amp;$B$4&amp;"'!$B$"&amp;$A20&amp;":"&amp;"$H$"&amp;$B20), G$2, FALSE)*G$13/G$12</f>
        <v>26.118849840255592</v>
      </c>
      <c r="H20" s="27">
        <f t="shared" ca="1" si="5"/>
        <v>26.174840085287848</v>
      </c>
      <c r="I20" s="27">
        <f t="shared" ca="1" si="5"/>
        <v>26.090734824281149</v>
      </c>
      <c r="J20" s="27">
        <f t="shared" ca="1" si="5"/>
        <v>26.118849840255592</v>
      </c>
      <c r="K20" s="27">
        <f t="shared" ca="1" si="5"/>
        <v>26.090405117270787</v>
      </c>
      <c r="L20" s="28">
        <f t="shared" ca="1" si="5"/>
        <v>26.090405117270787</v>
      </c>
    </row>
    <row r="21" spans="1:12" ht="14.25" x14ac:dyDescent="0.2">
      <c r="A21" s="59">
        <v>211</v>
      </c>
      <c r="B21" s="59">
        <v>215</v>
      </c>
      <c r="C21" s="59" t="s">
        <v>73</v>
      </c>
      <c r="E21" s="20" t="s">
        <v>28</v>
      </c>
      <c r="F21" s="25" t="s">
        <v>16</v>
      </c>
      <c r="G21" s="26">
        <f t="shared" ca="1" si="5"/>
        <v>6.7275825346112885</v>
      </c>
      <c r="H21" s="27">
        <f t="shared" ca="1" si="5"/>
        <v>6.7420042643923237</v>
      </c>
      <c r="I21" s="27">
        <f t="shared" ca="1" si="5"/>
        <v>6.7203407880724173</v>
      </c>
      <c r="J21" s="27">
        <f t="shared" ca="1" si="5"/>
        <v>6.7275825346112885</v>
      </c>
      <c r="K21" s="27">
        <f t="shared" ca="1" si="5"/>
        <v>6.720255863539446</v>
      </c>
      <c r="L21" s="28">
        <f t="shared" ca="1" si="5"/>
        <v>6.720255863539446</v>
      </c>
    </row>
    <row r="22" spans="1:12" ht="14.25" x14ac:dyDescent="0.2">
      <c r="A22" s="59">
        <v>211</v>
      </c>
      <c r="B22" s="59">
        <v>215</v>
      </c>
      <c r="C22" s="59" t="s">
        <v>74</v>
      </c>
      <c r="E22" s="20" t="s">
        <v>29</v>
      </c>
      <c r="F22" s="25" t="s">
        <v>16</v>
      </c>
      <c r="G22" s="21">
        <f t="shared" ca="1" si="5"/>
        <v>404842.17252396164</v>
      </c>
      <c r="H22" s="22">
        <f t="shared" ca="1" si="5"/>
        <v>405710.0213219616</v>
      </c>
      <c r="I22" s="22">
        <f t="shared" ca="1" si="5"/>
        <v>402034.50479233224</v>
      </c>
      <c r="J22" s="22">
        <f t="shared" ca="1" si="5"/>
        <v>402467.73162939295</v>
      </c>
      <c r="K22" s="22">
        <f t="shared" ca="1" si="5"/>
        <v>400843.49680170574</v>
      </c>
      <c r="L22" s="23">
        <f t="shared" ca="1" si="5"/>
        <v>403215.35181236675</v>
      </c>
    </row>
    <row r="23" spans="1:12" x14ac:dyDescent="0.2">
      <c r="E23" s="5" t="s">
        <v>325</v>
      </c>
      <c r="F23" s="24"/>
      <c r="G23" s="21"/>
      <c r="H23" s="22"/>
      <c r="I23" s="22"/>
      <c r="J23" s="22"/>
      <c r="K23" s="22"/>
      <c r="L23" s="23"/>
    </row>
    <row r="24" spans="1:12" ht="14.25" x14ac:dyDescent="0.2">
      <c r="A24" s="59">
        <v>226</v>
      </c>
      <c r="B24" s="59">
        <v>229</v>
      </c>
      <c r="C24" s="59" t="s">
        <v>72</v>
      </c>
      <c r="E24" s="20" t="s">
        <v>27</v>
      </c>
      <c r="F24" s="25" t="s">
        <v>16</v>
      </c>
      <c r="G24" s="26">
        <f ca="1">VLOOKUP($C24, INDIRECT("'"&amp;$B$4&amp;"'!$B$"&amp;$A24&amp;":"&amp;"$H$"&amp;$B24), G$2, FALSE)</f>
        <v>96</v>
      </c>
      <c r="H24" s="22">
        <f t="shared" ref="H24:L26" ca="1" si="6">VLOOKUP($C24, INDIRECT("'"&amp;$B$4&amp;"'!$B$"&amp;$A24&amp;":"&amp;"$H$"&amp;$B24), H$2, FALSE)</f>
        <v>96</v>
      </c>
      <c r="I24" s="22">
        <f t="shared" ca="1" si="6"/>
        <v>96</v>
      </c>
      <c r="J24" s="22">
        <f t="shared" ca="1" si="6"/>
        <v>96</v>
      </c>
      <c r="K24" s="22">
        <f t="shared" ca="1" si="6"/>
        <v>96</v>
      </c>
      <c r="L24" s="23">
        <f t="shared" ca="1" si="6"/>
        <v>96</v>
      </c>
    </row>
    <row r="25" spans="1:12" ht="14.25" x14ac:dyDescent="0.2">
      <c r="A25" s="59">
        <v>226</v>
      </c>
      <c r="B25" s="59">
        <v>229</v>
      </c>
      <c r="C25" s="59" t="s">
        <v>73</v>
      </c>
      <c r="E25" s="20" t="s">
        <v>28</v>
      </c>
      <c r="F25" s="25" t="s">
        <v>16</v>
      </c>
      <c r="G25" s="21">
        <f t="shared" ref="G25:G26" ca="1" si="7">VLOOKUP($C25, INDIRECT("'"&amp;$B$4&amp;"'!$B$"&amp;$A25&amp;":"&amp;"$H$"&amp;$B25), G$2, FALSE)</f>
        <v>5.2</v>
      </c>
      <c r="H25" s="22">
        <f t="shared" ca="1" si="6"/>
        <v>5.2</v>
      </c>
      <c r="I25" s="22">
        <f t="shared" ca="1" si="6"/>
        <v>5.2</v>
      </c>
      <c r="J25" s="22">
        <f t="shared" ca="1" si="6"/>
        <v>5.2</v>
      </c>
      <c r="K25" s="22">
        <f t="shared" ca="1" si="6"/>
        <v>5.0999999999999996</v>
      </c>
      <c r="L25" s="23">
        <f t="shared" ca="1" si="6"/>
        <v>5.2</v>
      </c>
    </row>
    <row r="26" spans="1:12" ht="14.25" x14ac:dyDescent="0.2">
      <c r="A26" s="59">
        <v>226</v>
      </c>
      <c r="B26" s="59">
        <v>229</v>
      </c>
      <c r="C26" s="59" t="s">
        <v>74</v>
      </c>
      <c r="E26" s="20" t="s">
        <v>29</v>
      </c>
      <c r="F26" s="25" t="s">
        <v>16</v>
      </c>
      <c r="G26" s="21">
        <f t="shared" ca="1" si="7"/>
        <v>545600</v>
      </c>
      <c r="H26" s="22">
        <f t="shared" ca="1" si="6"/>
        <v>545600</v>
      </c>
      <c r="I26" s="22">
        <f t="shared" ca="1" si="6"/>
        <v>542400</v>
      </c>
      <c r="J26" s="22">
        <f t="shared" ca="1" si="6"/>
        <v>542400</v>
      </c>
      <c r="K26" s="22">
        <f t="shared" ca="1" si="6"/>
        <v>540800</v>
      </c>
      <c r="L26" s="23">
        <f t="shared" ca="1" si="6"/>
        <v>544000</v>
      </c>
    </row>
    <row r="27" spans="1:12" x14ac:dyDescent="0.2">
      <c r="E27" s="5" t="s">
        <v>17</v>
      </c>
      <c r="F27" s="24"/>
      <c r="G27" s="29"/>
      <c r="H27" s="24"/>
      <c r="I27" s="24"/>
      <c r="J27" s="24"/>
      <c r="K27" s="24"/>
      <c r="L27" s="30"/>
    </row>
    <row r="28" spans="1:12" ht="14.25" x14ac:dyDescent="0.2">
      <c r="A28" s="59">
        <v>226</v>
      </c>
      <c r="B28" s="59">
        <v>229</v>
      </c>
      <c r="C28" s="59" t="s">
        <v>72</v>
      </c>
      <c r="E28" s="20" t="s">
        <v>27</v>
      </c>
      <c r="F28" s="25" t="s">
        <v>16</v>
      </c>
      <c r="G28" s="26">
        <f t="shared" ref="G28:L30" ca="1" si="8">VLOOKUP($C28, INDIRECT("'"&amp;$B$4&amp;"'!$B$"&amp;$A28&amp;":"&amp;"$H$"&amp;$B28), G$2, FALSE)*G$13/G$12</f>
        <v>94.977635782747598</v>
      </c>
      <c r="H28" s="27">
        <f t="shared" ca="1" si="8"/>
        <v>95.181236673773981</v>
      </c>
      <c r="I28" s="27">
        <f t="shared" ca="1" si="8"/>
        <v>94.87539936102236</v>
      </c>
      <c r="J28" s="27">
        <f t="shared" ca="1" si="8"/>
        <v>94.977635782747598</v>
      </c>
      <c r="K28" s="27">
        <f t="shared" ca="1" si="8"/>
        <v>94.874200426439231</v>
      </c>
      <c r="L28" s="28">
        <f t="shared" ca="1" si="8"/>
        <v>94.874200426439231</v>
      </c>
    </row>
    <row r="29" spans="1:12" ht="14.25" x14ac:dyDescent="0.2">
      <c r="A29" s="59">
        <v>226</v>
      </c>
      <c r="B29" s="59">
        <v>229</v>
      </c>
      <c r="C29" s="59" t="s">
        <v>73</v>
      </c>
      <c r="E29" s="20" t="s">
        <v>28</v>
      </c>
      <c r="F29" s="25" t="s">
        <v>16</v>
      </c>
      <c r="G29" s="26">
        <f t="shared" ca="1" si="8"/>
        <v>5.1446219382321621</v>
      </c>
      <c r="H29" s="27">
        <f t="shared" ca="1" si="8"/>
        <v>5.1556503198294239</v>
      </c>
      <c r="I29" s="27">
        <f t="shared" ca="1" si="8"/>
        <v>5.1390841320553777</v>
      </c>
      <c r="J29" s="27">
        <f t="shared" ca="1" si="8"/>
        <v>5.1446219382321621</v>
      </c>
      <c r="K29" s="27">
        <f t="shared" ca="1" si="8"/>
        <v>5.0401918976545845</v>
      </c>
      <c r="L29" s="28">
        <f t="shared" ca="1" si="8"/>
        <v>5.1390191897654587</v>
      </c>
    </row>
    <row r="30" spans="1:12" ht="14.25" x14ac:dyDescent="0.2">
      <c r="A30" s="59">
        <v>226</v>
      </c>
      <c r="B30" s="59">
        <v>229</v>
      </c>
      <c r="C30" s="59" t="s">
        <v>74</v>
      </c>
      <c r="E30" s="20" t="s">
        <v>29</v>
      </c>
      <c r="F30" s="25" t="s">
        <v>16</v>
      </c>
      <c r="G30" s="21">
        <f t="shared" ca="1" si="8"/>
        <v>539789.56336528226</v>
      </c>
      <c r="H30" s="22">
        <f t="shared" ca="1" si="8"/>
        <v>540946.69509594887</v>
      </c>
      <c r="I30" s="22">
        <f t="shared" ca="1" si="8"/>
        <v>536046.00638977636</v>
      </c>
      <c r="J30" s="22">
        <f t="shared" ca="1" si="8"/>
        <v>536623.64217252401</v>
      </c>
      <c r="K30" s="22">
        <f t="shared" ca="1" si="8"/>
        <v>534457.99573560769</v>
      </c>
      <c r="L30" s="23">
        <f t="shared" ca="1" si="8"/>
        <v>537620.46908315562</v>
      </c>
    </row>
    <row r="31" spans="1:12" x14ac:dyDescent="0.2">
      <c r="E31" s="4" t="s">
        <v>21</v>
      </c>
      <c r="F31" s="25"/>
      <c r="G31" s="29"/>
      <c r="H31" s="24"/>
      <c r="I31" s="24"/>
      <c r="J31" s="24"/>
      <c r="K31" s="24"/>
      <c r="L31" s="30"/>
    </row>
    <row r="32" spans="1:12" x14ac:dyDescent="0.2">
      <c r="E32" s="31"/>
      <c r="F32" s="8"/>
      <c r="G32" s="53"/>
      <c r="H32" s="54"/>
      <c r="I32" s="54"/>
      <c r="J32" s="54"/>
      <c r="K32" s="54"/>
      <c r="L32" s="55"/>
    </row>
    <row r="33" spans="1:12" ht="25.5" x14ac:dyDescent="0.2">
      <c r="A33" s="303" t="s">
        <v>354</v>
      </c>
      <c r="B33" s="303"/>
      <c r="C33" s="303"/>
      <c r="E33" s="31" t="s">
        <v>277</v>
      </c>
      <c r="F33" s="8" t="s">
        <v>8</v>
      </c>
      <c r="G33" s="53">
        <v>490</v>
      </c>
      <c r="H33" s="54">
        <v>490</v>
      </c>
      <c r="I33" s="54">
        <v>490</v>
      </c>
      <c r="J33" s="54">
        <v>490</v>
      </c>
      <c r="K33" s="54">
        <v>490</v>
      </c>
      <c r="L33" s="55">
        <v>490</v>
      </c>
    </row>
    <row r="34" spans="1:12" ht="13.5" thickBot="1" x14ac:dyDescent="0.25">
      <c r="A34" s="59">
        <v>16</v>
      </c>
      <c r="B34" s="59">
        <v>16</v>
      </c>
      <c r="C34" s="59" t="s">
        <v>89</v>
      </c>
      <c r="E34" s="32" t="s">
        <v>7</v>
      </c>
      <c r="F34" s="52" t="s">
        <v>12</v>
      </c>
      <c r="G34" s="56">
        <f ca="1">VLOOKUP($C34, INDIRECT("'"&amp;$B$4&amp;"'!$B$"&amp;$A34&amp;":"&amp;"$H$"&amp;$B34), G$2, FALSE)</f>
        <v>4.3400000000000001E-2</v>
      </c>
      <c r="H34" s="57">
        <f t="shared" ref="H34:L34" ca="1" si="9">VLOOKUP($C34, INDIRECT("'"&amp;$B$4&amp;"'!$B$"&amp;$A34&amp;":"&amp;"$H$"&amp;$B34), H$2, FALSE)</f>
        <v>4.3400000000000001E-2</v>
      </c>
      <c r="I34" s="57">
        <f t="shared" ca="1" si="9"/>
        <v>4.3400000000000001E-2</v>
      </c>
      <c r="J34" s="57">
        <f t="shared" ca="1" si="9"/>
        <v>4.3400000000000001E-2</v>
      </c>
      <c r="K34" s="57">
        <f t="shared" ca="1" si="9"/>
        <v>4.3400000000000001E-2</v>
      </c>
      <c r="L34" s="58">
        <f t="shared" ca="1" si="9"/>
        <v>4.3400000000000001E-2</v>
      </c>
    </row>
    <row r="35" spans="1:12" ht="12.75" customHeight="1" x14ac:dyDescent="0.2">
      <c r="E35" s="6" t="s">
        <v>20</v>
      </c>
      <c r="F35" s="24"/>
      <c r="G35" s="34"/>
      <c r="H35" s="35"/>
      <c r="I35" s="35"/>
      <c r="J35" s="35"/>
      <c r="K35" s="35"/>
      <c r="L35" s="36"/>
    </row>
    <row r="36" spans="1:12" x14ac:dyDescent="0.2">
      <c r="A36" s="59">
        <v>184</v>
      </c>
      <c r="B36" s="59">
        <v>187</v>
      </c>
      <c r="C36" s="59" t="s">
        <v>166</v>
      </c>
      <c r="E36" s="20" t="s">
        <v>24</v>
      </c>
      <c r="F36" s="8" t="s">
        <v>10</v>
      </c>
      <c r="G36" s="191">
        <f ca="1">VLOOKUP($C36, INDIRECT("'"&amp;$B$4&amp;"'!$B$"&amp;$A36&amp;":"&amp;"$H$"&amp;$B36), G$2, FALSE)</f>
        <v>1.27</v>
      </c>
      <c r="H36" s="41">
        <f t="shared" ref="H36:L38" ca="1" si="10">VLOOKUP($C36, INDIRECT("'"&amp;$B$4&amp;"'!$B$"&amp;$A36&amp;":"&amp;"$H$"&amp;$B36), H$2, FALSE)</f>
        <v>1.39</v>
      </c>
      <c r="I36" s="41">
        <f t="shared" ca="1" si="10"/>
        <v>1.27</v>
      </c>
      <c r="J36" s="41">
        <f t="shared" ca="1" si="10"/>
        <v>1.27</v>
      </c>
      <c r="K36" s="41">
        <f t="shared" ca="1" si="10"/>
        <v>1.27</v>
      </c>
      <c r="L36" s="42">
        <f t="shared" ca="1" si="10"/>
        <v>1.37</v>
      </c>
    </row>
    <row r="37" spans="1:12" x14ac:dyDescent="0.2">
      <c r="A37" s="59">
        <v>190</v>
      </c>
      <c r="B37" s="59">
        <v>193</v>
      </c>
      <c r="C37" s="59" t="s">
        <v>166</v>
      </c>
      <c r="E37" s="20" t="s">
        <v>25</v>
      </c>
      <c r="F37" s="8" t="s">
        <v>10</v>
      </c>
      <c r="G37" s="40">
        <f t="shared" ref="G37:G38" ca="1" si="11">VLOOKUP($C37, INDIRECT("'"&amp;$B$4&amp;"'!$B$"&amp;$A37&amp;":"&amp;"$H$"&amp;$B37), G$2, FALSE)</f>
        <v>8.8000000000000007</v>
      </c>
      <c r="H37" s="41">
        <f t="shared" ca="1" si="10"/>
        <v>11.44</v>
      </c>
      <c r="I37" s="41">
        <f t="shared" ca="1" si="10"/>
        <v>8.8000000000000007</v>
      </c>
      <c r="J37" s="41">
        <f t="shared" ca="1" si="10"/>
        <v>8.8000000000000007</v>
      </c>
      <c r="K37" s="41">
        <f t="shared" ca="1" si="10"/>
        <v>8.8000000000000007</v>
      </c>
      <c r="L37" s="42">
        <f t="shared" ca="1" si="10"/>
        <v>8.8000000000000007</v>
      </c>
    </row>
    <row r="38" spans="1:12" ht="13.5" thickBot="1" x14ac:dyDescent="0.25">
      <c r="A38" s="59">
        <v>177</v>
      </c>
      <c r="B38" s="59">
        <v>180</v>
      </c>
      <c r="C38" s="59" t="s">
        <v>163</v>
      </c>
      <c r="E38" s="32" t="s">
        <v>6</v>
      </c>
      <c r="F38" s="33" t="s">
        <v>9</v>
      </c>
      <c r="G38" s="43">
        <f t="shared" ca="1" si="11"/>
        <v>16200</v>
      </c>
      <c r="H38" s="44">
        <f t="shared" ca="1" si="10"/>
        <v>16200</v>
      </c>
      <c r="I38" s="44">
        <f t="shared" ca="1" si="10"/>
        <v>16200</v>
      </c>
      <c r="J38" s="44">
        <f t="shared" ca="1" si="10"/>
        <v>16200</v>
      </c>
      <c r="K38" s="44">
        <f t="shared" ca="1" si="10"/>
        <v>16200</v>
      </c>
      <c r="L38" s="45">
        <f t="shared" ca="1" si="10"/>
        <v>16200</v>
      </c>
    </row>
    <row r="40" spans="1:12" x14ac:dyDescent="0.2">
      <c r="E40" s="10" t="s">
        <v>400</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27.5" style="10" customWidth="1"/>
    <col min="9" max="9" width="24.83203125" style="10" customWidth="1"/>
    <col min="10" max="10" width="26.1640625" style="10" customWidth="1"/>
    <col min="11" max="16384" width="9.33203125" style="10"/>
  </cols>
  <sheetData>
    <row r="1" spans="1:10" s="59" customFormat="1" hidden="1" outlineLevel="1" x14ac:dyDescent="0.2">
      <c r="H1" s="59" t="s">
        <v>62</v>
      </c>
      <c r="I1" s="59" t="s">
        <v>64</v>
      </c>
      <c r="J1" s="59" t="s">
        <v>65</v>
      </c>
    </row>
    <row r="2" spans="1:10" s="59" customFormat="1" hidden="1" outlineLevel="1" x14ac:dyDescent="0.2">
      <c r="H2" s="59">
        <f>MATCH(H1, '[2]1x HA.02 25ppm'!$B$6:$H$6)</f>
        <v>4</v>
      </c>
      <c r="I2" s="59">
        <f>MATCH(I1, '[2]1x HA.02 25ppm'!$B$6:$H$6)</f>
        <v>3</v>
      </c>
      <c r="J2" s="59">
        <f>MATCH(J1, '[2]1x HA.02 25ppm'!$B$6:$H$6)</f>
        <v>2</v>
      </c>
    </row>
    <row r="3" spans="1:10" ht="13.5" collapsed="1" thickBot="1" x14ac:dyDescent="0.25"/>
    <row r="4" spans="1:10" ht="14.25" x14ac:dyDescent="0.2">
      <c r="A4" s="60" t="s">
        <v>75</v>
      </c>
      <c r="B4" s="59" t="s">
        <v>345</v>
      </c>
      <c r="F4" s="11"/>
      <c r="G4" s="12"/>
      <c r="H4" s="297" t="s">
        <v>361</v>
      </c>
      <c r="I4" s="298"/>
      <c r="J4" s="299"/>
    </row>
    <row r="5" spans="1:10" ht="13.5" thickBot="1" x14ac:dyDescent="0.25">
      <c r="F5" s="3" t="s">
        <v>0</v>
      </c>
      <c r="G5" s="2" t="s">
        <v>1</v>
      </c>
      <c r="H5" s="13" t="s">
        <v>22</v>
      </c>
      <c r="I5" s="13" t="s">
        <v>4</v>
      </c>
      <c r="J5" s="15" t="s">
        <v>5</v>
      </c>
    </row>
    <row r="6" spans="1:10" ht="25.5" customHeight="1" x14ac:dyDescent="0.2">
      <c r="A6" s="189" t="s">
        <v>197</v>
      </c>
      <c r="B6" s="189" t="s">
        <v>198</v>
      </c>
      <c r="C6" s="189" t="s">
        <v>199</v>
      </c>
      <c r="D6" s="189"/>
      <c r="F6" s="4" t="s">
        <v>13</v>
      </c>
      <c r="G6" s="1"/>
      <c r="H6" s="307"/>
      <c r="I6" s="308"/>
      <c r="J6" s="309"/>
    </row>
    <row r="7" spans="1:10" x14ac:dyDescent="0.2">
      <c r="F7" s="5" t="s">
        <v>66</v>
      </c>
      <c r="G7" s="1"/>
      <c r="H7" s="16"/>
      <c r="I7" s="17"/>
      <c r="J7" s="19"/>
    </row>
    <row r="8" spans="1:10" x14ac:dyDescent="0.2">
      <c r="A8" s="59">
        <v>32</v>
      </c>
      <c r="B8" s="59">
        <v>40</v>
      </c>
      <c r="C8" s="59" t="s">
        <v>67</v>
      </c>
      <c r="F8" s="20" t="s">
        <v>69</v>
      </c>
      <c r="G8" s="8" t="s">
        <v>2</v>
      </c>
      <c r="H8" s="37">
        <f t="shared" ref="H8:J9" ca="1" si="0">VLOOKUP($C8, INDIRECT("'"&amp;$B$4&amp;"'!$B$"&amp;$A8&amp;":"&amp;"$H$"&amp;$B8), H$2, FALSE)/1000</f>
        <v>337.4</v>
      </c>
      <c r="I8" s="38">
        <f t="shared" ca="1" si="0"/>
        <v>336.7</v>
      </c>
      <c r="J8" s="39">
        <f t="shared" ca="1" si="0"/>
        <v>335.3</v>
      </c>
    </row>
    <row r="9" spans="1:10" x14ac:dyDescent="0.2">
      <c r="A9" s="59">
        <v>44</v>
      </c>
      <c r="B9" s="59">
        <v>52</v>
      </c>
      <c r="C9" s="59" t="s">
        <v>67</v>
      </c>
      <c r="F9" s="20" t="s">
        <v>70</v>
      </c>
      <c r="G9" s="8" t="s">
        <v>2</v>
      </c>
      <c r="H9" s="37">
        <f t="shared" ca="1" si="0"/>
        <v>349.2</v>
      </c>
      <c r="I9" s="38">
        <f t="shared" ca="1" si="0"/>
        <v>348.4</v>
      </c>
      <c r="J9" s="39">
        <f t="shared" ca="1" si="0"/>
        <v>346.7</v>
      </c>
    </row>
    <row r="10" spans="1:10" x14ac:dyDescent="0.2">
      <c r="F10" s="20"/>
      <c r="G10" s="8"/>
      <c r="H10" s="37"/>
      <c r="I10" s="38"/>
      <c r="J10" s="39"/>
    </row>
    <row r="11" spans="1:10" x14ac:dyDescent="0.2">
      <c r="F11" s="5" t="s">
        <v>68</v>
      </c>
      <c r="G11" s="8"/>
      <c r="H11" s="7"/>
      <c r="I11" s="8"/>
      <c r="J11" s="9"/>
    </row>
    <row r="12" spans="1:10" x14ac:dyDescent="0.2">
      <c r="A12" s="59">
        <v>32</v>
      </c>
      <c r="B12" s="59">
        <v>40</v>
      </c>
      <c r="C12" s="59" t="s">
        <v>71</v>
      </c>
      <c r="F12" s="20" t="s">
        <v>14</v>
      </c>
      <c r="G12" s="8" t="s">
        <v>11</v>
      </c>
      <c r="H12" s="21">
        <f t="shared" ref="H12:J13" ca="1" si="1">VLOOKUP($C12, INDIRECT("'"&amp;$B$4&amp;"'!$B$"&amp;$A12&amp;":"&amp;"$H$"&amp;$B12), H$2, FALSE)</f>
        <v>9400</v>
      </c>
      <c r="I12" s="22">
        <f t="shared" ca="1" si="1"/>
        <v>9270</v>
      </c>
      <c r="J12" s="23">
        <f t="shared" ca="1" si="1"/>
        <v>9400</v>
      </c>
    </row>
    <row r="13" spans="1:10" x14ac:dyDescent="0.2">
      <c r="A13" s="59">
        <v>44</v>
      </c>
      <c r="B13" s="59">
        <v>52</v>
      </c>
      <c r="C13" s="59" t="s">
        <v>71</v>
      </c>
      <c r="F13" s="20" t="s">
        <v>15</v>
      </c>
      <c r="G13" s="8" t="s">
        <v>11</v>
      </c>
      <c r="H13" s="21">
        <f t="shared" ca="1" si="1"/>
        <v>9310</v>
      </c>
      <c r="I13" s="22">
        <f t="shared" ca="1" si="1"/>
        <v>9180</v>
      </c>
      <c r="J13" s="23">
        <f t="shared" ca="1" si="1"/>
        <v>9310</v>
      </c>
    </row>
    <row r="14" spans="1:10" x14ac:dyDescent="0.2">
      <c r="F14" s="20"/>
      <c r="G14" s="8"/>
      <c r="H14" s="21"/>
      <c r="I14" s="22"/>
      <c r="J14" s="23"/>
    </row>
    <row r="15" spans="1:10" x14ac:dyDescent="0.2">
      <c r="F15" s="5" t="s">
        <v>18</v>
      </c>
      <c r="G15" s="24"/>
      <c r="H15" s="7"/>
      <c r="I15" s="8"/>
      <c r="J15" s="9"/>
    </row>
    <row r="16" spans="1:10" ht="14.25" x14ac:dyDescent="0.2">
      <c r="A16" s="59">
        <v>205</v>
      </c>
      <c r="B16" s="59">
        <v>209</v>
      </c>
      <c r="C16" s="59" t="s">
        <v>72</v>
      </c>
      <c r="F16" s="20" t="s">
        <v>27</v>
      </c>
      <c r="G16" s="25" t="s">
        <v>16</v>
      </c>
      <c r="H16" s="190">
        <f t="shared" ref="H16:J18" ca="1" si="2">VLOOKUP($C16, INDIRECT("'"&amp;$B$4&amp;"'!$B$"&amp;$A16&amp;":"&amp;"$H$"&amp;$B16), H$2, FALSE)</f>
        <v>188.6</v>
      </c>
      <c r="I16" s="27">
        <f t="shared" ca="1" si="2"/>
        <v>188.6</v>
      </c>
      <c r="J16" s="28">
        <f t="shared" ca="1" si="2"/>
        <v>188.6</v>
      </c>
    </row>
    <row r="17" spans="1:10" ht="14.25" x14ac:dyDescent="0.2">
      <c r="A17" s="59">
        <v>205</v>
      </c>
      <c r="B17" s="59">
        <v>209</v>
      </c>
      <c r="C17" s="59" t="s">
        <v>73</v>
      </c>
      <c r="F17" s="20" t="s">
        <v>28</v>
      </c>
      <c r="G17" s="25" t="s">
        <v>16</v>
      </c>
      <c r="H17" s="26">
        <f t="shared" ca="1" si="2"/>
        <v>6.4</v>
      </c>
      <c r="I17" s="27">
        <f t="shared" ca="1" si="2"/>
        <v>6.3</v>
      </c>
      <c r="J17" s="28">
        <f t="shared" ca="1" si="2"/>
        <v>6.4</v>
      </c>
    </row>
    <row r="18" spans="1:10" ht="14.25" x14ac:dyDescent="0.2">
      <c r="A18" s="59">
        <v>205</v>
      </c>
      <c r="B18" s="59">
        <v>209</v>
      </c>
      <c r="C18" s="59" t="s">
        <v>74</v>
      </c>
      <c r="F18" s="20" t="s">
        <v>29</v>
      </c>
      <c r="G18" s="25" t="s">
        <v>16</v>
      </c>
      <c r="H18" s="21">
        <f t="shared" ca="1" si="2"/>
        <v>385200</v>
      </c>
      <c r="I18" s="22">
        <f t="shared" ca="1" si="2"/>
        <v>379200</v>
      </c>
      <c r="J18" s="23">
        <f t="shared" ca="1" si="2"/>
        <v>381600</v>
      </c>
    </row>
    <row r="19" spans="1:10" x14ac:dyDescent="0.2">
      <c r="F19" s="5" t="s">
        <v>19</v>
      </c>
      <c r="G19" s="24"/>
      <c r="H19" s="29"/>
      <c r="I19" s="24"/>
      <c r="J19" s="30"/>
    </row>
    <row r="20" spans="1:10" ht="14.25" x14ac:dyDescent="0.2">
      <c r="A20" s="59">
        <v>205</v>
      </c>
      <c r="B20" s="59">
        <v>209</v>
      </c>
      <c r="C20" s="59" t="s">
        <v>72</v>
      </c>
      <c r="F20" s="20" t="s">
        <v>27</v>
      </c>
      <c r="G20" s="25" t="s">
        <v>16</v>
      </c>
      <c r="H20" s="26">
        <f t="shared" ref="H20:J22" ca="1" si="3">VLOOKUP($C20, INDIRECT("'"&amp;$B$4&amp;"'!$B$"&amp;$A20&amp;":"&amp;"$H$"&amp;$B20), H$2, FALSE)*H$13/H$12</f>
        <v>186.79425531914893</v>
      </c>
      <c r="I20" s="27">
        <f t="shared" ca="1" si="3"/>
        <v>186.76893203883495</v>
      </c>
      <c r="J20" s="28">
        <f t="shared" ca="1" si="3"/>
        <v>186.79425531914893</v>
      </c>
    </row>
    <row r="21" spans="1:10" ht="14.25" x14ac:dyDescent="0.2">
      <c r="A21" s="59">
        <v>205</v>
      </c>
      <c r="B21" s="59">
        <v>209</v>
      </c>
      <c r="C21" s="59" t="s">
        <v>73</v>
      </c>
      <c r="F21" s="20" t="s">
        <v>28</v>
      </c>
      <c r="G21" s="25" t="s">
        <v>16</v>
      </c>
      <c r="H21" s="26">
        <f t="shared" ca="1" si="3"/>
        <v>6.3387234042553189</v>
      </c>
      <c r="I21" s="27">
        <f t="shared" ca="1" si="3"/>
        <v>6.2388349514563108</v>
      </c>
      <c r="J21" s="28">
        <f t="shared" ca="1" si="3"/>
        <v>6.3387234042553189</v>
      </c>
    </row>
    <row r="22" spans="1:10" ht="14.25" x14ac:dyDescent="0.2">
      <c r="A22" s="59">
        <v>205</v>
      </c>
      <c r="B22" s="59">
        <v>209</v>
      </c>
      <c r="C22" s="59" t="s">
        <v>74</v>
      </c>
      <c r="F22" s="20" t="s">
        <v>29</v>
      </c>
      <c r="G22" s="25" t="s">
        <v>16</v>
      </c>
      <c r="H22" s="21">
        <f t="shared" ca="1" si="3"/>
        <v>381511.91489361704</v>
      </c>
      <c r="I22" s="22">
        <f t="shared" ca="1" si="3"/>
        <v>375518.44660194177</v>
      </c>
      <c r="J22" s="23">
        <f t="shared" ca="1" si="3"/>
        <v>377946.38297872338</v>
      </c>
    </row>
    <row r="23" spans="1:10" x14ac:dyDescent="0.2">
      <c r="F23" s="5" t="s">
        <v>325</v>
      </c>
      <c r="G23" s="24"/>
      <c r="H23" s="21"/>
      <c r="I23" s="22"/>
      <c r="J23" s="23"/>
    </row>
    <row r="24" spans="1:10" ht="14.25" x14ac:dyDescent="0.2">
      <c r="A24" s="59">
        <v>219</v>
      </c>
      <c r="B24" s="59">
        <v>223</v>
      </c>
      <c r="C24" s="59" t="s">
        <v>72</v>
      </c>
      <c r="F24" s="20" t="s">
        <v>27</v>
      </c>
      <c r="G24" s="25" t="s">
        <v>16</v>
      </c>
      <c r="H24" s="26">
        <f t="shared" ref="H24:J26" ca="1" si="4">VLOOKUP($C24, INDIRECT("'"&amp;$B$4&amp;"'!$B$"&amp;$A24&amp;":"&amp;"$H$"&amp;$B24), H$2, FALSE)</f>
        <v>640</v>
      </c>
      <c r="I24" s="22">
        <f t="shared" ca="1" si="4"/>
        <v>640</v>
      </c>
      <c r="J24" s="23">
        <f t="shared" ca="1" si="4"/>
        <v>640</v>
      </c>
    </row>
    <row r="25" spans="1:10" ht="14.25" x14ac:dyDescent="0.2">
      <c r="A25" s="59">
        <v>219</v>
      </c>
      <c r="B25" s="59">
        <v>223</v>
      </c>
      <c r="C25" s="59" t="s">
        <v>73</v>
      </c>
      <c r="F25" s="20" t="s">
        <v>28</v>
      </c>
      <c r="G25" s="25" t="s">
        <v>16</v>
      </c>
      <c r="H25" s="21">
        <f t="shared" ca="1" si="4"/>
        <v>4.9000000000000004</v>
      </c>
      <c r="I25" s="22">
        <f t="shared" ca="1" si="4"/>
        <v>4.8</v>
      </c>
      <c r="J25" s="23">
        <f t="shared" ca="1" si="4"/>
        <v>4.8</v>
      </c>
    </row>
    <row r="26" spans="1:10" ht="14.25" x14ac:dyDescent="0.2">
      <c r="A26" s="59">
        <v>219</v>
      </c>
      <c r="B26" s="59">
        <v>223</v>
      </c>
      <c r="C26" s="59" t="s">
        <v>74</v>
      </c>
      <c r="F26" s="20" t="s">
        <v>29</v>
      </c>
      <c r="G26" s="25" t="s">
        <v>16</v>
      </c>
      <c r="H26" s="21">
        <f t="shared" ca="1" si="4"/>
        <v>513600</v>
      </c>
      <c r="I26" s="22">
        <f t="shared" ca="1" si="4"/>
        <v>505600</v>
      </c>
      <c r="J26" s="23">
        <f t="shared" ca="1" si="4"/>
        <v>508800</v>
      </c>
    </row>
    <row r="27" spans="1:10" x14ac:dyDescent="0.2">
      <c r="F27" s="5" t="s">
        <v>17</v>
      </c>
      <c r="G27" s="24"/>
      <c r="H27" s="29"/>
      <c r="I27" s="24"/>
      <c r="J27" s="30"/>
    </row>
    <row r="28" spans="1:10" ht="14.25" x14ac:dyDescent="0.2">
      <c r="A28" s="59">
        <v>219</v>
      </c>
      <c r="B28" s="59">
        <v>223</v>
      </c>
      <c r="C28" s="59" t="s">
        <v>72</v>
      </c>
      <c r="F28" s="20" t="s">
        <v>27</v>
      </c>
      <c r="G28" s="25" t="s">
        <v>16</v>
      </c>
      <c r="H28" s="26">
        <f t="shared" ref="H28:J30" ca="1" si="5">VLOOKUP($C28, INDIRECT("'"&amp;$B$4&amp;"'!$B$"&amp;$A28&amp;":"&amp;"$H$"&amp;$B28), H$2, FALSE)*H$13/H$12</f>
        <v>633.87234042553189</v>
      </c>
      <c r="I28" s="27">
        <f t="shared" ca="1" si="5"/>
        <v>633.78640776699024</v>
      </c>
      <c r="J28" s="28">
        <f t="shared" ca="1" si="5"/>
        <v>633.87234042553189</v>
      </c>
    </row>
    <row r="29" spans="1:10" ht="14.25" x14ac:dyDescent="0.2">
      <c r="A29" s="59">
        <v>219</v>
      </c>
      <c r="B29" s="59">
        <v>223</v>
      </c>
      <c r="C29" s="59" t="s">
        <v>73</v>
      </c>
      <c r="F29" s="20" t="s">
        <v>28</v>
      </c>
      <c r="G29" s="25" t="s">
        <v>16</v>
      </c>
      <c r="H29" s="26">
        <f t="shared" ca="1" si="5"/>
        <v>4.853085106382979</v>
      </c>
      <c r="I29" s="27">
        <f t="shared" ca="1" si="5"/>
        <v>4.7533980582524276</v>
      </c>
      <c r="J29" s="28">
        <f t="shared" ca="1" si="5"/>
        <v>4.7540425531914892</v>
      </c>
    </row>
    <row r="30" spans="1:10" ht="14.25" x14ac:dyDescent="0.2">
      <c r="A30" s="59">
        <v>219</v>
      </c>
      <c r="B30" s="59">
        <v>223</v>
      </c>
      <c r="C30" s="59" t="s">
        <v>74</v>
      </c>
      <c r="F30" s="20" t="s">
        <v>29</v>
      </c>
      <c r="G30" s="25" t="s">
        <v>16</v>
      </c>
      <c r="H30" s="21">
        <f t="shared" ca="1" si="5"/>
        <v>508682.55319148937</v>
      </c>
      <c r="I30" s="22">
        <f t="shared" ca="1" si="5"/>
        <v>500691.26213592233</v>
      </c>
      <c r="J30" s="23">
        <f t="shared" ca="1" si="5"/>
        <v>503928.51063829788</v>
      </c>
    </row>
    <row r="31" spans="1:10" x14ac:dyDescent="0.2">
      <c r="F31" s="4" t="s">
        <v>21</v>
      </c>
      <c r="G31" s="25"/>
      <c r="H31" s="29"/>
      <c r="I31" s="24"/>
      <c r="J31" s="30"/>
    </row>
    <row r="32" spans="1:10" x14ac:dyDescent="0.2">
      <c r="F32" s="31"/>
      <c r="G32" s="8"/>
      <c r="H32" s="53"/>
      <c r="I32" s="54"/>
      <c r="J32" s="55"/>
    </row>
    <row r="33" spans="1:10" ht="25.5" x14ac:dyDescent="0.2">
      <c r="A33" s="303" t="s">
        <v>354</v>
      </c>
      <c r="B33" s="303"/>
      <c r="C33" s="303"/>
      <c r="D33" s="275"/>
      <c r="F33" s="31" t="s">
        <v>277</v>
      </c>
      <c r="G33" s="8" t="s">
        <v>8</v>
      </c>
      <c r="H33" s="53">
        <v>490</v>
      </c>
      <c r="I33" s="54">
        <v>490</v>
      </c>
      <c r="J33" s="55">
        <v>490</v>
      </c>
    </row>
    <row r="34" spans="1:10" ht="13.5" thickBot="1" x14ac:dyDescent="0.25">
      <c r="A34" s="59">
        <v>16</v>
      </c>
      <c r="B34" s="59">
        <v>16</v>
      </c>
      <c r="C34" s="59" t="s">
        <v>89</v>
      </c>
      <c r="F34" s="32" t="s">
        <v>7</v>
      </c>
      <c r="G34" s="52" t="s">
        <v>12</v>
      </c>
      <c r="H34" s="56">
        <f t="shared" ref="H34:J34" ca="1" si="6">VLOOKUP($C34, INDIRECT("'"&amp;$B$4&amp;"'!$B$"&amp;$A34&amp;":"&amp;"$H$"&amp;$B34), H$2, FALSE)</f>
        <v>4.3400000000000001E-2</v>
      </c>
      <c r="I34" s="57">
        <f t="shared" ca="1" si="6"/>
        <v>4.3400000000000001E-2</v>
      </c>
      <c r="J34" s="58">
        <f t="shared" ca="1" si="6"/>
        <v>4.3400000000000001E-2</v>
      </c>
    </row>
    <row r="35" spans="1:10" ht="12.75" customHeight="1" x14ac:dyDescent="0.2">
      <c r="F35" s="6" t="s">
        <v>20</v>
      </c>
      <c r="G35" s="24"/>
      <c r="H35" s="34"/>
      <c r="I35" s="35"/>
      <c r="J35" s="36"/>
    </row>
    <row r="36" spans="1:10" x14ac:dyDescent="0.2">
      <c r="A36" s="59">
        <v>184</v>
      </c>
      <c r="B36" s="59">
        <v>187</v>
      </c>
      <c r="C36" s="59" t="s">
        <v>166</v>
      </c>
      <c r="D36" s="59" t="s">
        <v>168</v>
      </c>
      <c r="F36" s="20" t="s">
        <v>24</v>
      </c>
      <c r="G36" s="8" t="s">
        <v>10</v>
      </c>
      <c r="H36" s="191">
        <f t="shared" ref="H36:J37" ca="1" si="7">VLOOKUP($C36, INDIRECT("'"&amp;$B$4&amp;"'!$B$"&amp;$A36&amp;":"&amp;"$H$"&amp;$B36), H$2, FALSE)-VLOOKUP($D36, INDIRECT("'"&amp;$B$4&amp;"'!$B$"&amp;$A36&amp;":"&amp;"$H$"&amp;$B36), H$2, FALSE)</f>
        <v>0.9</v>
      </c>
      <c r="I36" s="41">
        <f t="shared" ca="1" si="7"/>
        <v>0.9</v>
      </c>
      <c r="J36" s="42">
        <f t="shared" ca="1" si="7"/>
        <v>0.9</v>
      </c>
    </row>
    <row r="37" spans="1:10" x14ac:dyDescent="0.2">
      <c r="A37" s="59">
        <v>190</v>
      </c>
      <c r="B37" s="59">
        <v>193</v>
      </c>
      <c r="C37" s="59" t="s">
        <v>166</v>
      </c>
      <c r="D37" s="59" t="s">
        <v>168</v>
      </c>
      <c r="F37" s="20" t="s">
        <v>25</v>
      </c>
      <c r="G37" s="8" t="s">
        <v>10</v>
      </c>
      <c r="H37" s="40">
        <f t="shared" ca="1" si="7"/>
        <v>10.200000000000001</v>
      </c>
      <c r="I37" s="41">
        <f t="shared" ca="1" si="7"/>
        <v>10.200000000000001</v>
      </c>
      <c r="J37" s="42">
        <f t="shared" ca="1" si="7"/>
        <v>10.200000000000001</v>
      </c>
    </row>
    <row r="38" spans="1:10" ht="13.5" thickBot="1" x14ac:dyDescent="0.25">
      <c r="A38" s="59">
        <v>177</v>
      </c>
      <c r="B38" s="59">
        <v>180</v>
      </c>
      <c r="C38" s="59" t="s">
        <v>163</v>
      </c>
      <c r="F38" s="32" t="s">
        <v>6</v>
      </c>
      <c r="G38" s="33" t="s">
        <v>9</v>
      </c>
      <c r="H38" s="43">
        <f t="shared" ref="H38:J38" ca="1" si="8">VLOOKUP($C38, INDIRECT("'"&amp;$B$4&amp;"'!$B$"&amp;$A38&amp;":"&amp;"$H$"&amp;$B38), H$2, FALSE)</f>
        <v>16200</v>
      </c>
      <c r="I38" s="44">
        <f t="shared" ca="1" si="8"/>
        <v>16200</v>
      </c>
      <c r="J38" s="45">
        <f t="shared" ca="1" si="8"/>
        <v>16200</v>
      </c>
    </row>
    <row r="40" spans="1:10" x14ac:dyDescent="0.2">
      <c r="F40" s="10" t="s">
        <v>400</v>
      </c>
    </row>
  </sheetData>
  <mergeCells count="3">
    <mergeCell ref="H4:J4"/>
    <mergeCell ref="H6:J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21.33203125" style="10" customWidth="1"/>
    <col min="8" max="8" width="21.5" style="10" customWidth="1"/>
    <col min="9" max="9" width="17.83203125" style="10" customWidth="1"/>
    <col min="10" max="16384" width="9.33203125" style="10"/>
  </cols>
  <sheetData>
    <row r="1" spans="1:9" s="59" customFormat="1" hidden="1" outlineLevel="1" x14ac:dyDescent="0.2">
      <c r="G1" s="59" t="s">
        <v>62</v>
      </c>
      <c r="H1" s="59" t="s">
        <v>64</v>
      </c>
      <c r="I1" s="59" t="s">
        <v>65</v>
      </c>
    </row>
    <row r="2" spans="1:9" s="59" customFormat="1" hidden="1" outlineLevel="1" x14ac:dyDescent="0.2">
      <c r="G2" s="59">
        <f>MATCH(G1, '[2]1x HA.02 25ppm'!$B$6:$H$6)</f>
        <v>4</v>
      </c>
      <c r="H2" s="59">
        <f>MATCH(H1, '[2]1x HA.02 25ppm'!$B$6:$H$6)</f>
        <v>3</v>
      </c>
      <c r="I2" s="59">
        <f>MATCH(I1, '[2]1x HA.02 25ppm'!$B$6:$H$6)</f>
        <v>2</v>
      </c>
    </row>
    <row r="3" spans="1:9" ht="13.5" collapsed="1" thickBot="1" x14ac:dyDescent="0.25"/>
    <row r="4" spans="1:9" ht="14.25" x14ac:dyDescent="0.2">
      <c r="A4" s="60" t="s">
        <v>75</v>
      </c>
      <c r="B4" s="59" t="s">
        <v>345</v>
      </c>
      <c r="E4" s="11"/>
      <c r="F4" s="12"/>
      <c r="G4" s="297" t="s">
        <v>362</v>
      </c>
      <c r="H4" s="298"/>
      <c r="I4" s="299"/>
    </row>
    <row r="5" spans="1:9" ht="13.5" thickBot="1" x14ac:dyDescent="0.25">
      <c r="E5" s="3" t="s">
        <v>0</v>
      </c>
      <c r="F5" s="2" t="s">
        <v>1</v>
      </c>
      <c r="G5" s="13" t="s">
        <v>22</v>
      </c>
      <c r="H5" s="13" t="s">
        <v>4</v>
      </c>
      <c r="I5" s="15" t="s">
        <v>5</v>
      </c>
    </row>
    <row r="6" spans="1:9" ht="25.5" customHeight="1" x14ac:dyDescent="0.2">
      <c r="A6" s="189" t="s">
        <v>197</v>
      </c>
      <c r="B6" s="189" t="s">
        <v>198</v>
      </c>
      <c r="C6" s="189" t="s">
        <v>199</v>
      </c>
      <c r="E6" s="4" t="s">
        <v>13</v>
      </c>
      <c r="F6" s="1"/>
      <c r="G6" s="307"/>
      <c r="H6" s="308"/>
      <c r="I6" s="309"/>
    </row>
    <row r="7" spans="1:9" x14ac:dyDescent="0.2">
      <c r="E7" s="5" t="s">
        <v>66</v>
      </c>
      <c r="F7" s="1"/>
      <c r="G7" s="16"/>
      <c r="H7" s="17"/>
      <c r="I7" s="19"/>
    </row>
    <row r="8" spans="1:9" x14ac:dyDescent="0.2">
      <c r="A8" s="59">
        <v>32</v>
      </c>
      <c r="B8" s="59">
        <v>40</v>
      </c>
      <c r="C8" s="59" t="s">
        <v>67</v>
      </c>
      <c r="E8" s="20" t="s">
        <v>69</v>
      </c>
      <c r="F8" s="8" t="s">
        <v>2</v>
      </c>
      <c r="G8" s="37">
        <f t="shared" ref="G8:I9" ca="1" si="0">VLOOKUP($C8, INDIRECT("'"&amp;$B$4&amp;"'!$B$"&amp;$A8&amp;":"&amp;"$H$"&amp;$B8), G$2, FALSE)/1000</f>
        <v>337.4</v>
      </c>
      <c r="H8" s="38">
        <f t="shared" ca="1" si="0"/>
        <v>336.7</v>
      </c>
      <c r="I8" s="39">
        <f t="shared" ca="1" si="0"/>
        <v>335.3</v>
      </c>
    </row>
    <row r="9" spans="1:9" x14ac:dyDescent="0.2">
      <c r="A9" s="59">
        <v>44</v>
      </c>
      <c r="B9" s="59">
        <v>52</v>
      </c>
      <c r="C9" s="59" t="s">
        <v>67</v>
      </c>
      <c r="E9" s="20" t="s">
        <v>70</v>
      </c>
      <c r="F9" s="8" t="s">
        <v>2</v>
      </c>
      <c r="G9" s="37">
        <f t="shared" ca="1" si="0"/>
        <v>349.2</v>
      </c>
      <c r="H9" s="38">
        <f t="shared" ca="1" si="0"/>
        <v>348.4</v>
      </c>
      <c r="I9" s="39">
        <f t="shared" ca="1" si="0"/>
        <v>346.7</v>
      </c>
    </row>
    <row r="10" spans="1:9" x14ac:dyDescent="0.2">
      <c r="E10" s="20"/>
      <c r="F10" s="8"/>
      <c r="G10" s="37"/>
      <c r="H10" s="38"/>
      <c r="I10" s="39"/>
    </row>
    <row r="11" spans="1:9" x14ac:dyDescent="0.2">
      <c r="E11" s="5" t="s">
        <v>68</v>
      </c>
      <c r="F11" s="8"/>
      <c r="G11" s="7"/>
      <c r="H11" s="8"/>
      <c r="I11" s="9"/>
    </row>
    <row r="12" spans="1:9" x14ac:dyDescent="0.2">
      <c r="A12" s="59">
        <v>32</v>
      </c>
      <c r="B12" s="59">
        <v>40</v>
      </c>
      <c r="C12" s="59" t="s">
        <v>71</v>
      </c>
      <c r="E12" s="20" t="s">
        <v>14</v>
      </c>
      <c r="F12" s="8" t="s">
        <v>11</v>
      </c>
      <c r="G12" s="21">
        <f t="shared" ref="G12:I13" ca="1" si="1">VLOOKUP($C12, INDIRECT("'"&amp;$B$4&amp;"'!$B$"&amp;$A12&amp;":"&amp;"$H$"&amp;$B12), G$2, FALSE)</f>
        <v>9400</v>
      </c>
      <c r="H12" s="22">
        <f t="shared" ca="1" si="1"/>
        <v>9270</v>
      </c>
      <c r="I12" s="23">
        <f t="shared" ca="1" si="1"/>
        <v>9400</v>
      </c>
    </row>
    <row r="13" spans="1:9" x14ac:dyDescent="0.2">
      <c r="A13" s="59">
        <v>44</v>
      </c>
      <c r="B13" s="59">
        <v>52</v>
      </c>
      <c r="C13" s="59" t="s">
        <v>71</v>
      </c>
      <c r="E13" s="20" t="s">
        <v>15</v>
      </c>
      <c r="F13" s="8" t="s">
        <v>11</v>
      </c>
      <c r="G13" s="21">
        <f t="shared" ca="1" si="1"/>
        <v>9310</v>
      </c>
      <c r="H13" s="22">
        <f t="shared" ca="1" si="1"/>
        <v>9180</v>
      </c>
      <c r="I13" s="23">
        <f t="shared" ca="1" si="1"/>
        <v>9310</v>
      </c>
    </row>
    <row r="14" spans="1:9" x14ac:dyDescent="0.2">
      <c r="E14" s="20"/>
      <c r="F14" s="8"/>
      <c r="G14" s="21"/>
      <c r="H14" s="22"/>
      <c r="I14" s="23"/>
    </row>
    <row r="15" spans="1:9" x14ac:dyDescent="0.2">
      <c r="E15" s="5" t="s">
        <v>18</v>
      </c>
      <c r="F15" s="24"/>
      <c r="G15" s="7"/>
      <c r="H15" s="8"/>
      <c r="I15" s="9"/>
    </row>
    <row r="16" spans="1:9" ht="14.25" x14ac:dyDescent="0.2">
      <c r="A16" s="59">
        <v>211</v>
      </c>
      <c r="B16" s="59">
        <v>215</v>
      </c>
      <c r="C16" s="59" t="s">
        <v>72</v>
      </c>
      <c r="E16" s="20" t="s">
        <v>27</v>
      </c>
      <c r="F16" s="25" t="s">
        <v>16</v>
      </c>
      <c r="G16" s="190">
        <f t="shared" ref="G16:I18" ca="1" si="2">VLOOKUP($C16, INDIRECT("'"&amp;$B$4&amp;"'!$B$"&amp;$A16&amp;":"&amp;"$H$"&amp;$B16), G$2, FALSE)</f>
        <v>26.4</v>
      </c>
      <c r="H16" s="27">
        <f t="shared" ca="1" si="2"/>
        <v>26.4</v>
      </c>
      <c r="I16" s="28">
        <f t="shared" ca="1" si="2"/>
        <v>26.4</v>
      </c>
    </row>
    <row r="17" spans="1:9" ht="14.25" x14ac:dyDescent="0.2">
      <c r="A17" s="59">
        <v>211</v>
      </c>
      <c r="B17" s="59">
        <v>215</v>
      </c>
      <c r="C17" s="59" t="s">
        <v>73</v>
      </c>
      <c r="E17" s="20" t="s">
        <v>28</v>
      </c>
      <c r="F17" s="25" t="s">
        <v>16</v>
      </c>
      <c r="G17" s="26">
        <f t="shared" ca="1" si="2"/>
        <v>6.4</v>
      </c>
      <c r="H17" s="27">
        <f t="shared" ca="1" si="2"/>
        <v>6.3</v>
      </c>
      <c r="I17" s="28">
        <f t="shared" ca="1" si="2"/>
        <v>6.4</v>
      </c>
    </row>
    <row r="18" spans="1:9" ht="14.25" x14ac:dyDescent="0.2">
      <c r="A18" s="59">
        <v>211</v>
      </c>
      <c r="B18" s="59">
        <v>215</v>
      </c>
      <c r="C18" s="59" t="s">
        <v>74</v>
      </c>
      <c r="E18" s="20" t="s">
        <v>29</v>
      </c>
      <c r="F18" s="25" t="s">
        <v>16</v>
      </c>
      <c r="G18" s="21">
        <f t="shared" ca="1" si="2"/>
        <v>385200</v>
      </c>
      <c r="H18" s="22">
        <f t="shared" ca="1" si="2"/>
        <v>379200</v>
      </c>
      <c r="I18" s="23">
        <f t="shared" ca="1" si="2"/>
        <v>381600</v>
      </c>
    </row>
    <row r="19" spans="1:9" x14ac:dyDescent="0.2">
      <c r="E19" s="5" t="s">
        <v>19</v>
      </c>
      <c r="F19" s="24"/>
      <c r="G19" s="29"/>
      <c r="H19" s="24"/>
      <c r="I19" s="30"/>
    </row>
    <row r="20" spans="1:9" ht="14.25" x14ac:dyDescent="0.2">
      <c r="A20" s="59">
        <v>211</v>
      </c>
      <c r="B20" s="59">
        <v>215</v>
      </c>
      <c r="C20" s="59" t="s">
        <v>72</v>
      </c>
      <c r="E20" s="20" t="s">
        <v>27</v>
      </c>
      <c r="F20" s="25" t="s">
        <v>16</v>
      </c>
      <c r="G20" s="26">
        <f t="shared" ref="G20:I22" ca="1" si="3">VLOOKUP($C20, INDIRECT("'"&amp;$B$4&amp;"'!$B$"&amp;$A20&amp;":"&amp;"$H$"&amp;$B20), G$2, FALSE)*G$13/G$12</f>
        <v>26.14723404255319</v>
      </c>
      <c r="H20" s="27">
        <f t="shared" ca="1" si="3"/>
        <v>26.143689320388351</v>
      </c>
      <c r="I20" s="28">
        <f t="shared" ca="1" si="3"/>
        <v>26.14723404255319</v>
      </c>
    </row>
    <row r="21" spans="1:9" ht="14.25" x14ac:dyDescent="0.2">
      <c r="A21" s="59">
        <v>211</v>
      </c>
      <c r="B21" s="59">
        <v>215</v>
      </c>
      <c r="C21" s="59" t="s">
        <v>73</v>
      </c>
      <c r="E21" s="20" t="s">
        <v>28</v>
      </c>
      <c r="F21" s="25" t="s">
        <v>16</v>
      </c>
      <c r="G21" s="26">
        <f t="shared" ca="1" si="3"/>
        <v>6.3387234042553189</v>
      </c>
      <c r="H21" s="27">
        <f t="shared" ca="1" si="3"/>
        <v>6.2388349514563108</v>
      </c>
      <c r="I21" s="28">
        <f t="shared" ca="1" si="3"/>
        <v>6.3387234042553189</v>
      </c>
    </row>
    <row r="22" spans="1:9" ht="14.25" x14ac:dyDescent="0.2">
      <c r="A22" s="59">
        <v>211</v>
      </c>
      <c r="B22" s="59">
        <v>215</v>
      </c>
      <c r="C22" s="59" t="s">
        <v>74</v>
      </c>
      <c r="E22" s="20" t="s">
        <v>29</v>
      </c>
      <c r="F22" s="25" t="s">
        <v>16</v>
      </c>
      <c r="G22" s="21">
        <f t="shared" ca="1" si="3"/>
        <v>381511.91489361704</v>
      </c>
      <c r="H22" s="22">
        <f t="shared" ca="1" si="3"/>
        <v>375518.44660194177</v>
      </c>
      <c r="I22" s="23">
        <f t="shared" ca="1" si="3"/>
        <v>377946.38297872338</v>
      </c>
    </row>
    <row r="23" spans="1:9" x14ac:dyDescent="0.2">
      <c r="E23" s="5" t="s">
        <v>325</v>
      </c>
      <c r="F23" s="24"/>
      <c r="G23" s="21"/>
      <c r="H23" s="22"/>
      <c r="I23" s="23"/>
    </row>
    <row r="24" spans="1:9" ht="14.25" x14ac:dyDescent="0.2">
      <c r="A24" s="59">
        <v>226</v>
      </c>
      <c r="B24" s="59">
        <v>229</v>
      </c>
      <c r="C24" s="59" t="s">
        <v>72</v>
      </c>
      <c r="E24" s="20" t="s">
        <v>27</v>
      </c>
      <c r="F24" s="25" t="s">
        <v>16</v>
      </c>
      <c r="G24" s="26">
        <f t="shared" ref="G24:I26" ca="1" si="4">VLOOKUP($C24, INDIRECT("'"&amp;$B$4&amp;"'!$B$"&amp;$A24&amp;":"&amp;"$H$"&amp;$B24), G$2, FALSE)</f>
        <v>96</v>
      </c>
      <c r="H24" s="22">
        <f t="shared" ca="1" si="4"/>
        <v>96</v>
      </c>
      <c r="I24" s="23">
        <f t="shared" ca="1" si="4"/>
        <v>96</v>
      </c>
    </row>
    <row r="25" spans="1:9" ht="14.25" x14ac:dyDescent="0.2">
      <c r="A25" s="59">
        <v>226</v>
      </c>
      <c r="B25" s="59">
        <v>229</v>
      </c>
      <c r="C25" s="59" t="s">
        <v>73</v>
      </c>
      <c r="E25" s="20" t="s">
        <v>28</v>
      </c>
      <c r="F25" s="25" t="s">
        <v>16</v>
      </c>
      <c r="G25" s="21">
        <f t="shared" ca="1" si="4"/>
        <v>4.9000000000000004</v>
      </c>
      <c r="H25" s="22">
        <f t="shared" ca="1" si="4"/>
        <v>4.8</v>
      </c>
      <c r="I25" s="23">
        <f t="shared" ca="1" si="4"/>
        <v>4.8</v>
      </c>
    </row>
    <row r="26" spans="1:9" ht="14.25" x14ac:dyDescent="0.2">
      <c r="A26" s="59">
        <v>226</v>
      </c>
      <c r="B26" s="59">
        <v>229</v>
      </c>
      <c r="C26" s="59" t="s">
        <v>74</v>
      </c>
      <c r="E26" s="20" t="s">
        <v>29</v>
      </c>
      <c r="F26" s="25" t="s">
        <v>16</v>
      </c>
      <c r="G26" s="21">
        <f t="shared" ca="1" si="4"/>
        <v>513600</v>
      </c>
      <c r="H26" s="22">
        <f t="shared" ca="1" si="4"/>
        <v>505600</v>
      </c>
      <c r="I26" s="23">
        <f t="shared" ca="1" si="4"/>
        <v>508800</v>
      </c>
    </row>
    <row r="27" spans="1:9" x14ac:dyDescent="0.2">
      <c r="E27" s="5" t="s">
        <v>17</v>
      </c>
      <c r="F27" s="24"/>
      <c r="G27" s="29"/>
      <c r="H27" s="24"/>
      <c r="I27" s="30"/>
    </row>
    <row r="28" spans="1:9" ht="14.25" x14ac:dyDescent="0.2">
      <c r="A28" s="59">
        <v>226</v>
      </c>
      <c r="B28" s="59">
        <v>229</v>
      </c>
      <c r="C28" s="59" t="s">
        <v>72</v>
      </c>
      <c r="E28" s="20" t="s">
        <v>27</v>
      </c>
      <c r="F28" s="25" t="s">
        <v>16</v>
      </c>
      <c r="G28" s="26">
        <f t="shared" ref="G28:I30" ca="1" si="5">VLOOKUP($C28, INDIRECT("'"&amp;$B$4&amp;"'!$B$"&amp;$A28&amp;":"&amp;"$H$"&amp;$B28), G$2, FALSE)*G$13/G$12</f>
        <v>95.080851063829783</v>
      </c>
      <c r="H28" s="27">
        <f t="shared" ca="1" si="5"/>
        <v>95.067961165048544</v>
      </c>
      <c r="I28" s="28">
        <f t="shared" ca="1" si="5"/>
        <v>95.080851063829783</v>
      </c>
    </row>
    <row r="29" spans="1:9" ht="14.25" x14ac:dyDescent="0.2">
      <c r="A29" s="59">
        <v>226</v>
      </c>
      <c r="B29" s="59">
        <v>229</v>
      </c>
      <c r="C29" s="59" t="s">
        <v>73</v>
      </c>
      <c r="E29" s="20" t="s">
        <v>28</v>
      </c>
      <c r="F29" s="25" t="s">
        <v>16</v>
      </c>
      <c r="G29" s="26">
        <f t="shared" ca="1" si="5"/>
        <v>4.853085106382979</v>
      </c>
      <c r="H29" s="27">
        <f t="shared" ca="1" si="5"/>
        <v>4.7533980582524276</v>
      </c>
      <c r="I29" s="28">
        <f t="shared" ca="1" si="5"/>
        <v>4.7540425531914892</v>
      </c>
    </row>
    <row r="30" spans="1:9" ht="14.25" x14ac:dyDescent="0.2">
      <c r="A30" s="59">
        <v>226</v>
      </c>
      <c r="B30" s="59">
        <v>229</v>
      </c>
      <c r="C30" s="59" t="s">
        <v>74</v>
      </c>
      <c r="E30" s="20" t="s">
        <v>29</v>
      </c>
      <c r="F30" s="25" t="s">
        <v>16</v>
      </c>
      <c r="G30" s="21">
        <f t="shared" ca="1" si="5"/>
        <v>508682.55319148937</v>
      </c>
      <c r="H30" s="22">
        <f t="shared" ca="1" si="5"/>
        <v>500691.26213592233</v>
      </c>
      <c r="I30" s="23">
        <f t="shared" ca="1" si="5"/>
        <v>503928.51063829788</v>
      </c>
    </row>
    <row r="31" spans="1:9" x14ac:dyDescent="0.2">
      <c r="E31" s="4" t="s">
        <v>21</v>
      </c>
      <c r="F31" s="25"/>
      <c r="G31" s="29"/>
      <c r="H31" s="24"/>
      <c r="I31" s="30"/>
    </row>
    <row r="32" spans="1:9" x14ac:dyDescent="0.2">
      <c r="E32" s="31"/>
      <c r="F32" s="8"/>
      <c r="G32" s="53"/>
      <c r="H32" s="54"/>
      <c r="I32" s="55"/>
    </row>
    <row r="33" spans="1:9" ht="25.5" x14ac:dyDescent="0.2">
      <c r="A33" s="303" t="s">
        <v>354</v>
      </c>
      <c r="B33" s="303"/>
      <c r="C33" s="303"/>
      <c r="E33" s="31" t="s">
        <v>277</v>
      </c>
      <c r="F33" s="8" t="s">
        <v>8</v>
      </c>
      <c r="G33" s="53">
        <v>490</v>
      </c>
      <c r="H33" s="54">
        <v>490</v>
      </c>
      <c r="I33" s="55">
        <v>490</v>
      </c>
    </row>
    <row r="34" spans="1:9" ht="13.5" thickBot="1" x14ac:dyDescent="0.25">
      <c r="A34" s="59">
        <v>16</v>
      </c>
      <c r="B34" s="59">
        <v>16</v>
      </c>
      <c r="C34" s="59" t="s">
        <v>89</v>
      </c>
      <c r="E34" s="32" t="s">
        <v>7</v>
      </c>
      <c r="F34" s="52" t="s">
        <v>12</v>
      </c>
      <c r="G34" s="56">
        <f t="shared" ref="G34:I34" ca="1" si="6">VLOOKUP($C34, INDIRECT("'"&amp;$B$4&amp;"'!$B$"&amp;$A34&amp;":"&amp;"$H$"&amp;$B34), G$2, FALSE)</f>
        <v>4.3400000000000001E-2</v>
      </c>
      <c r="H34" s="57">
        <f t="shared" ca="1" si="6"/>
        <v>4.3400000000000001E-2</v>
      </c>
      <c r="I34" s="58">
        <f t="shared" ca="1" si="6"/>
        <v>4.3400000000000001E-2</v>
      </c>
    </row>
    <row r="35" spans="1:9" ht="12.75" customHeight="1" x14ac:dyDescent="0.2">
      <c r="E35" s="6" t="s">
        <v>20</v>
      </c>
      <c r="F35" s="24"/>
      <c r="G35" s="34"/>
      <c r="H35" s="35"/>
      <c r="I35" s="36"/>
    </row>
    <row r="36" spans="1:9" x14ac:dyDescent="0.2">
      <c r="A36" s="59">
        <v>184</v>
      </c>
      <c r="B36" s="59">
        <v>187</v>
      </c>
      <c r="C36" s="59" t="s">
        <v>166</v>
      </c>
      <c r="E36" s="20" t="s">
        <v>24</v>
      </c>
      <c r="F36" s="8" t="s">
        <v>10</v>
      </c>
      <c r="G36" s="191">
        <f t="shared" ref="G36:I38" ca="1" si="7">VLOOKUP($C36, INDIRECT("'"&amp;$B$4&amp;"'!$B$"&amp;$A36&amp;":"&amp;"$H$"&amp;$B36), G$2, FALSE)</f>
        <v>0.9</v>
      </c>
      <c r="H36" s="41">
        <f t="shared" ca="1" si="7"/>
        <v>0.9</v>
      </c>
      <c r="I36" s="42">
        <f t="shared" ca="1" si="7"/>
        <v>0.9</v>
      </c>
    </row>
    <row r="37" spans="1:9" x14ac:dyDescent="0.2">
      <c r="A37" s="59">
        <v>190</v>
      </c>
      <c r="B37" s="59">
        <v>193</v>
      </c>
      <c r="C37" s="59" t="s">
        <v>166</v>
      </c>
      <c r="E37" s="20" t="s">
        <v>25</v>
      </c>
      <c r="F37" s="8" t="s">
        <v>10</v>
      </c>
      <c r="G37" s="40">
        <f t="shared" ca="1" si="7"/>
        <v>10.200000000000001</v>
      </c>
      <c r="H37" s="41">
        <f t="shared" ca="1" si="7"/>
        <v>10.200000000000001</v>
      </c>
      <c r="I37" s="42">
        <f t="shared" ca="1" si="7"/>
        <v>10.200000000000001</v>
      </c>
    </row>
    <row r="38" spans="1:9" ht="13.5" thickBot="1" x14ac:dyDescent="0.25">
      <c r="A38" s="59">
        <v>177</v>
      </c>
      <c r="B38" s="59">
        <v>180</v>
      </c>
      <c r="C38" s="59" t="s">
        <v>163</v>
      </c>
      <c r="E38" s="32" t="s">
        <v>6</v>
      </c>
      <c r="F38" s="33" t="s">
        <v>9</v>
      </c>
      <c r="G38" s="43">
        <f t="shared" ca="1" si="7"/>
        <v>16200</v>
      </c>
      <c r="H38" s="44">
        <f t="shared" ca="1" si="7"/>
        <v>16200</v>
      </c>
      <c r="I38" s="45">
        <f t="shared" ca="1" si="7"/>
        <v>16200</v>
      </c>
    </row>
    <row r="40" spans="1:9" x14ac:dyDescent="0.2">
      <c r="E40" s="10" t="s">
        <v>400</v>
      </c>
    </row>
  </sheetData>
  <mergeCells count="3">
    <mergeCell ref="G4:I4"/>
    <mergeCell ref="G6:I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2" s="59" customFormat="1" hidden="1" outlineLevel="1" x14ac:dyDescent="0.2">
      <c r="G1" s="59" t="s">
        <v>60</v>
      </c>
      <c r="H1" s="59" t="s">
        <v>61</v>
      </c>
      <c r="I1" s="59" t="s">
        <v>62</v>
      </c>
      <c r="J1" s="59" t="s">
        <v>63</v>
      </c>
      <c r="K1" s="59" t="s">
        <v>64</v>
      </c>
      <c r="L1" s="59" t="s">
        <v>65</v>
      </c>
    </row>
    <row r="2" spans="1:12" s="59" customFormat="1" hidden="1" outlineLevel="1" x14ac:dyDescent="0.2">
      <c r="G2" s="59">
        <f>MATCH(G1, '[2]1x HA.02 25ppm'!$B$6:$H$6)</f>
        <v>7</v>
      </c>
      <c r="H2" s="59">
        <f>MATCH(H1, '[2]1x HA.02 25ppm'!$B$6:$H$6)</f>
        <v>6</v>
      </c>
      <c r="I2" s="59">
        <f>MATCH(I1, '[2]1x HA.02 25ppm'!$B$6:$H$6)</f>
        <v>4</v>
      </c>
      <c r="J2" s="59">
        <f>MATCH(J1, '[2]1x HA.02 25ppm'!$B$6:$H$6)</f>
        <v>5</v>
      </c>
      <c r="K2" s="59">
        <f>MATCH(K1, '[2]1x HA.02 25ppm'!$B$6:$H$6)</f>
        <v>3</v>
      </c>
      <c r="L2" s="59">
        <f>MATCH(L1, '[2]1x HA.02 25ppm'!$B$6:$H$6)</f>
        <v>2</v>
      </c>
    </row>
    <row r="3" spans="1:12" ht="13.5" collapsed="1" thickBot="1" x14ac:dyDescent="0.25"/>
    <row r="4" spans="1:12" ht="14.25" x14ac:dyDescent="0.2">
      <c r="A4" s="60" t="s">
        <v>75</v>
      </c>
      <c r="B4" s="59" t="s">
        <v>280</v>
      </c>
      <c r="E4" s="11"/>
      <c r="F4" s="12"/>
      <c r="G4" s="297" t="s">
        <v>372</v>
      </c>
      <c r="H4" s="298"/>
      <c r="I4" s="298"/>
      <c r="J4" s="298"/>
      <c r="K4" s="298"/>
      <c r="L4" s="299"/>
    </row>
    <row r="5" spans="1:12" ht="26.25" thickBot="1" x14ac:dyDescent="0.25">
      <c r="E5" s="3" t="s">
        <v>0</v>
      </c>
      <c r="F5" s="2" t="s">
        <v>1</v>
      </c>
      <c r="G5" s="13" t="s">
        <v>3</v>
      </c>
      <c r="H5" s="13" t="s">
        <v>30</v>
      </c>
      <c r="I5" s="13" t="s">
        <v>22</v>
      </c>
      <c r="J5" s="14" t="s">
        <v>23</v>
      </c>
      <c r="K5" s="13" t="s">
        <v>4</v>
      </c>
      <c r="L5" s="15" t="s">
        <v>5</v>
      </c>
    </row>
    <row r="6" spans="1:12" ht="25.5" customHeight="1" x14ac:dyDescent="0.2">
      <c r="A6" s="189" t="s">
        <v>197</v>
      </c>
      <c r="B6" s="189" t="s">
        <v>198</v>
      </c>
      <c r="C6" s="189" t="s">
        <v>199</v>
      </c>
      <c r="E6" s="4" t="s">
        <v>13</v>
      </c>
      <c r="F6" s="1"/>
      <c r="G6" s="304"/>
      <c r="H6" s="305"/>
      <c r="I6" s="305"/>
      <c r="J6" s="305"/>
      <c r="K6" s="305"/>
      <c r="L6" s="306"/>
    </row>
    <row r="7" spans="1:12" x14ac:dyDescent="0.2">
      <c r="E7" s="5" t="s">
        <v>66</v>
      </c>
      <c r="F7" s="1"/>
      <c r="G7" s="16"/>
      <c r="H7" s="17"/>
      <c r="I7" s="17"/>
      <c r="J7" s="18"/>
      <c r="K7" s="17"/>
      <c r="L7" s="19"/>
    </row>
    <row r="8" spans="1:12" x14ac:dyDescent="0.2">
      <c r="A8" s="59">
        <v>102</v>
      </c>
      <c r="B8" s="59">
        <v>105</v>
      </c>
      <c r="C8" s="59" t="s">
        <v>67</v>
      </c>
      <c r="E8" s="20" t="s">
        <v>69</v>
      </c>
      <c r="F8" s="8" t="s">
        <v>2</v>
      </c>
      <c r="G8" s="37">
        <f ca="1">VLOOKUP($C8, INDIRECT("'"&amp;$B$4&amp;"'!$B$"&amp;$A8&amp;":"&amp;"$H$"&amp;$B8), G$2, FALSE)/1000</f>
        <v>517.9</v>
      </c>
      <c r="H8" s="38">
        <f t="shared" ref="H8:L9" ca="1" si="0">VLOOKUP($C8, INDIRECT("'"&amp;$B$4&amp;"'!$B$"&amp;$A8&amp;":"&amp;"$H$"&amp;$B8), H$2, FALSE)/1000</f>
        <v>512.29999999999995</v>
      </c>
      <c r="I8" s="38">
        <f t="shared" ca="1" si="0"/>
        <v>514.70000000000005</v>
      </c>
      <c r="J8" s="38">
        <f t="shared" ca="1" si="0"/>
        <v>514.70000000000005</v>
      </c>
      <c r="K8" s="38">
        <f t="shared" ca="1" si="0"/>
        <v>513.29999999999995</v>
      </c>
      <c r="L8" s="39">
        <f t="shared" ca="1" si="0"/>
        <v>509.9</v>
      </c>
    </row>
    <row r="9" spans="1:12" x14ac:dyDescent="0.2">
      <c r="A9" s="59">
        <v>68</v>
      </c>
      <c r="B9" s="59">
        <v>71</v>
      </c>
      <c r="C9" s="59" t="s">
        <v>67</v>
      </c>
      <c r="E9" s="20" t="s">
        <v>70</v>
      </c>
      <c r="F9" s="8" t="s">
        <v>2</v>
      </c>
      <c r="G9" s="37">
        <f t="shared" ref="G9" ca="1" si="1">VLOOKUP($C9, INDIRECT("'"&amp;$B$4&amp;"'!$B$"&amp;$A9&amp;":"&amp;"$H$"&amp;$B9), G$2, FALSE)/1000</f>
        <v>547.79999999999995</v>
      </c>
      <c r="H9" s="38">
        <f t="shared" ca="1" si="0"/>
        <v>546.70000000000005</v>
      </c>
      <c r="I9" s="38">
        <f t="shared" ca="1" si="0"/>
        <v>544.79999999999995</v>
      </c>
      <c r="J9" s="38">
        <f t="shared" ca="1" si="0"/>
        <v>544.79999999999995</v>
      </c>
      <c r="K9" s="38">
        <f t="shared" ca="1" si="0"/>
        <v>542.1</v>
      </c>
      <c r="L9" s="39">
        <f t="shared" ca="1" si="0"/>
        <v>539.20000000000005</v>
      </c>
    </row>
    <row r="10" spans="1:12" x14ac:dyDescent="0.2">
      <c r="E10" s="20"/>
      <c r="F10" s="8"/>
      <c r="G10" s="37"/>
      <c r="H10" s="38"/>
      <c r="I10" s="38"/>
      <c r="J10" s="38"/>
      <c r="K10" s="38"/>
      <c r="L10" s="39"/>
    </row>
    <row r="11" spans="1:12" x14ac:dyDescent="0.2">
      <c r="E11" s="5" t="s">
        <v>282</v>
      </c>
      <c r="F11" s="8"/>
      <c r="G11" s="37"/>
      <c r="H11" s="38"/>
      <c r="I11" s="38"/>
      <c r="J11" s="38"/>
      <c r="K11" s="38"/>
      <c r="L11" s="39"/>
    </row>
    <row r="12" spans="1:12" x14ac:dyDescent="0.2">
      <c r="A12" s="59">
        <v>112</v>
      </c>
      <c r="B12" s="59">
        <v>115</v>
      </c>
      <c r="C12" s="59" t="s">
        <v>67</v>
      </c>
      <c r="E12" s="20" t="s">
        <v>69</v>
      </c>
      <c r="F12" s="8" t="s">
        <v>2</v>
      </c>
      <c r="G12" s="37">
        <f ca="1">VLOOKUP($C12, INDIRECT("'"&amp;$B$4&amp;"'!$B$"&amp;$A12&amp;":"&amp;"$H$"&amp;$B12), G$2, FALSE)/1000</f>
        <v>235.7</v>
      </c>
      <c r="H12" s="38">
        <f t="shared" ref="H12:L13" ca="1" si="2">VLOOKUP($C12, INDIRECT("'"&amp;$B$4&amp;"'!$B$"&amp;$A12&amp;":"&amp;"$H$"&amp;$B12), H$2, FALSE)/1000</f>
        <v>232.3</v>
      </c>
      <c r="I12" s="38">
        <f t="shared" ca="1" si="2"/>
        <v>234</v>
      </c>
      <c r="J12" s="38">
        <f t="shared" ca="1" si="2"/>
        <v>234</v>
      </c>
      <c r="K12" s="38">
        <f t="shared" ca="1" si="2"/>
        <v>233.4</v>
      </c>
      <c r="L12" s="39">
        <f t="shared" ca="1" si="2"/>
        <v>232.1</v>
      </c>
    </row>
    <row r="13" spans="1:12" x14ac:dyDescent="0.2">
      <c r="A13" s="59">
        <v>78</v>
      </c>
      <c r="B13" s="59">
        <v>81</v>
      </c>
      <c r="C13" s="59" t="s">
        <v>67</v>
      </c>
      <c r="E13" s="20" t="s">
        <v>70</v>
      </c>
      <c r="F13" s="8" t="s">
        <v>2</v>
      </c>
      <c r="G13" s="37">
        <f t="shared" ref="G13" ca="1" si="3">VLOOKUP($C13, INDIRECT("'"&amp;$B$4&amp;"'!$B$"&amp;$A13&amp;":"&amp;"$H$"&amp;$B13), G$2, FALSE)/1000</f>
        <v>199.5</v>
      </c>
      <c r="H13" s="38">
        <f t="shared" ca="1" si="2"/>
        <v>199.3</v>
      </c>
      <c r="I13" s="38">
        <f t="shared" ca="1" si="2"/>
        <v>198.7</v>
      </c>
      <c r="J13" s="38">
        <f t="shared" ca="1" si="2"/>
        <v>198.7</v>
      </c>
      <c r="K13" s="38">
        <f t="shared" ca="1" si="2"/>
        <v>198</v>
      </c>
      <c r="L13" s="39">
        <f t="shared" ca="1" si="2"/>
        <v>197</v>
      </c>
    </row>
    <row r="14" spans="1:12" x14ac:dyDescent="0.2">
      <c r="E14" s="20"/>
      <c r="F14" s="8"/>
      <c r="G14" s="37"/>
      <c r="H14" s="38"/>
      <c r="I14" s="38"/>
      <c r="J14" s="38"/>
      <c r="K14" s="38"/>
      <c r="L14" s="39"/>
    </row>
    <row r="15" spans="1:12" x14ac:dyDescent="0.2">
      <c r="E15" s="5" t="s">
        <v>284</v>
      </c>
      <c r="F15" s="8"/>
      <c r="G15" s="7"/>
      <c r="H15" s="8"/>
      <c r="I15" s="8"/>
      <c r="J15" s="8"/>
      <c r="K15" s="8"/>
      <c r="L15" s="9"/>
    </row>
    <row r="16" spans="1:12" x14ac:dyDescent="0.2">
      <c r="A16" s="59">
        <v>102</v>
      </c>
      <c r="B16" s="59">
        <v>105</v>
      </c>
      <c r="C16" s="59" t="s">
        <v>71</v>
      </c>
      <c r="E16" s="20" t="s">
        <v>69</v>
      </c>
      <c r="F16" s="8" t="s">
        <v>11</v>
      </c>
      <c r="G16" s="21">
        <f ca="1">VLOOKUP($C16, INDIRECT("'"&amp;$B$4&amp;"'!$B$"&amp;$A16&amp;":"&amp;"$H$"&amp;$B16), G$2, FALSE)</f>
        <v>6370</v>
      </c>
      <c r="H16" s="22">
        <f t="shared" ref="H16:L17" ca="1" si="4">VLOOKUP($C16, INDIRECT("'"&amp;$B$4&amp;"'!$B$"&amp;$A16&amp;":"&amp;"$H$"&amp;$B16), H$2, FALSE)</f>
        <v>6370</v>
      </c>
      <c r="I16" s="22">
        <f t="shared" ca="1" si="4"/>
        <v>6360</v>
      </c>
      <c r="J16" s="22">
        <f t="shared" ca="1" si="4"/>
        <v>6360</v>
      </c>
      <c r="K16" s="22">
        <f t="shared" ca="1" si="4"/>
        <v>6360</v>
      </c>
      <c r="L16" s="23">
        <f t="shared" ca="1" si="4"/>
        <v>6370</v>
      </c>
    </row>
    <row r="17" spans="1:12" x14ac:dyDescent="0.2">
      <c r="A17" s="59">
        <v>68</v>
      </c>
      <c r="B17" s="59">
        <v>71</v>
      </c>
      <c r="C17" s="59" t="s">
        <v>71</v>
      </c>
      <c r="E17" s="20" t="s">
        <v>70</v>
      </c>
      <c r="F17" s="8" t="s">
        <v>11</v>
      </c>
      <c r="G17" s="21">
        <f ca="1">VLOOKUP($C17, INDIRECT("'"&amp;$B$4&amp;"'!$B$"&amp;$A17&amp;":"&amp;"$H$"&amp;$B17), G$2, FALSE)</f>
        <v>6340</v>
      </c>
      <c r="H17" s="22">
        <f t="shared" ca="1" si="4"/>
        <v>6350</v>
      </c>
      <c r="I17" s="22">
        <f t="shared" ca="1" si="4"/>
        <v>6350</v>
      </c>
      <c r="J17" s="22">
        <f t="shared" ca="1" si="4"/>
        <v>6350</v>
      </c>
      <c r="K17" s="22">
        <f t="shared" ca="1" si="4"/>
        <v>6360</v>
      </c>
      <c r="L17" s="23">
        <f t="shared" ca="1" si="4"/>
        <v>6360</v>
      </c>
    </row>
    <row r="18" spans="1:12" x14ac:dyDescent="0.2">
      <c r="E18" s="20"/>
      <c r="F18" s="8"/>
      <c r="G18" s="21"/>
      <c r="H18" s="22"/>
      <c r="I18" s="22"/>
      <c r="J18" s="22"/>
      <c r="K18" s="22"/>
      <c r="L18" s="23"/>
    </row>
    <row r="19" spans="1:12" x14ac:dyDescent="0.2">
      <c r="E19" s="5" t="s">
        <v>283</v>
      </c>
      <c r="F19" s="8"/>
      <c r="G19" s="21"/>
      <c r="H19" s="22"/>
      <c r="I19" s="22"/>
      <c r="J19" s="22"/>
      <c r="K19" s="22"/>
      <c r="L19" s="23"/>
    </row>
    <row r="20" spans="1:12" x14ac:dyDescent="0.2">
      <c r="A20" s="59">
        <v>112</v>
      </c>
      <c r="B20" s="59">
        <v>115</v>
      </c>
      <c r="C20" s="59" t="s">
        <v>71</v>
      </c>
      <c r="E20" s="20" t="s">
        <v>69</v>
      </c>
      <c r="F20" s="8" t="s">
        <v>11</v>
      </c>
      <c r="G20" s="21">
        <f ca="1">VLOOKUP($C20, INDIRECT("'"&amp;$B$4&amp;"'!$B$"&amp;$A20&amp;":"&amp;"$H$"&amp;$B20), G$2, FALSE)</f>
        <v>7130</v>
      </c>
      <c r="H20" s="22">
        <f t="shared" ref="H20:L21" ca="1" si="5">VLOOKUP($C20, INDIRECT("'"&amp;$B$4&amp;"'!$B$"&amp;$A20&amp;":"&amp;"$H$"&amp;$B20), H$2, FALSE)</f>
        <v>7180</v>
      </c>
      <c r="I20" s="22">
        <f t="shared" ca="1" si="5"/>
        <v>7130</v>
      </c>
      <c r="J20" s="22">
        <f t="shared" ca="1" si="5"/>
        <v>7130</v>
      </c>
      <c r="K20" s="22">
        <f t="shared" ca="1" si="5"/>
        <v>7130</v>
      </c>
      <c r="L20" s="23">
        <f t="shared" ca="1" si="5"/>
        <v>7130</v>
      </c>
    </row>
    <row r="21" spans="1:12" x14ac:dyDescent="0.2">
      <c r="A21" s="59">
        <v>78</v>
      </c>
      <c r="B21" s="59">
        <v>81</v>
      </c>
      <c r="C21" s="59" t="s">
        <v>71</v>
      </c>
      <c r="E21" s="20" t="s">
        <v>70</v>
      </c>
      <c r="F21" s="8" t="s">
        <v>11</v>
      </c>
      <c r="G21" s="21">
        <f ca="1">VLOOKUP($C21, INDIRECT("'"&amp;$B$4&amp;"'!$B$"&amp;$A21&amp;":"&amp;"$H$"&amp;$B21), G$2, FALSE)</f>
        <v>7540</v>
      </c>
      <c r="H21" s="22">
        <f t="shared" ca="1" si="5"/>
        <v>7530</v>
      </c>
      <c r="I21" s="22">
        <f t="shared" ca="1" si="5"/>
        <v>7550</v>
      </c>
      <c r="J21" s="22">
        <f t="shared" ca="1" si="5"/>
        <v>7550</v>
      </c>
      <c r="K21" s="22">
        <f t="shared" ca="1" si="5"/>
        <v>7560</v>
      </c>
      <c r="L21" s="23">
        <f t="shared" ca="1" si="5"/>
        <v>7570</v>
      </c>
    </row>
    <row r="22" spans="1:12" x14ac:dyDescent="0.2">
      <c r="E22" s="20"/>
      <c r="F22" s="8"/>
      <c r="G22" s="21"/>
      <c r="H22" s="22"/>
      <c r="I22" s="22"/>
      <c r="J22" s="22"/>
      <c r="K22" s="22"/>
      <c r="L22" s="23"/>
    </row>
    <row r="23" spans="1:12" x14ac:dyDescent="0.2">
      <c r="E23" s="5" t="s">
        <v>18</v>
      </c>
      <c r="F23" s="24"/>
      <c r="G23" s="7"/>
      <c r="H23" s="8"/>
      <c r="I23" s="8"/>
      <c r="J23" s="8"/>
      <c r="K23" s="8"/>
      <c r="L23" s="9"/>
    </row>
    <row r="24" spans="1:12" ht="14.25" x14ac:dyDescent="0.2">
      <c r="A24" s="59">
        <v>240</v>
      </c>
      <c r="B24" s="59">
        <v>243</v>
      </c>
      <c r="C24" s="59" t="s">
        <v>281</v>
      </c>
      <c r="E24" s="20" t="s">
        <v>27</v>
      </c>
      <c r="F24" s="25" t="s">
        <v>16</v>
      </c>
      <c r="G24" s="190">
        <f ca="1">VLOOKUP($C24, INDIRECT("'"&amp;$B$4&amp;"'!$B$"&amp;$A24&amp;":"&amp;"$H$"&amp;$B24), G$2, FALSE)</f>
        <v>26.4</v>
      </c>
      <c r="H24" s="27">
        <f t="shared" ref="H24:L26" ca="1" si="6">VLOOKUP($C24, INDIRECT("'"&amp;$B$4&amp;"'!$B$"&amp;$A24&amp;":"&amp;"$H$"&amp;$B24), H$2, FALSE)</f>
        <v>26.4</v>
      </c>
      <c r="I24" s="27">
        <f t="shared" ca="1" si="6"/>
        <v>26.4</v>
      </c>
      <c r="J24" s="27">
        <f t="shared" ca="1" si="6"/>
        <v>26.4</v>
      </c>
      <c r="K24" s="27">
        <f t="shared" ca="1" si="6"/>
        <v>26.4</v>
      </c>
      <c r="L24" s="28">
        <f t="shared" ca="1" si="6"/>
        <v>26.4</v>
      </c>
    </row>
    <row r="25" spans="1:12" ht="14.25" x14ac:dyDescent="0.2">
      <c r="A25" s="59">
        <v>240</v>
      </c>
      <c r="B25" s="59">
        <v>243</v>
      </c>
      <c r="C25" s="59" t="s">
        <v>73</v>
      </c>
      <c r="E25" s="20" t="s">
        <v>28</v>
      </c>
      <c r="F25" s="25" t="s">
        <v>16</v>
      </c>
      <c r="G25" s="26">
        <f t="shared" ref="G25:G26" ca="1" si="7">VLOOKUP($C25, INDIRECT("'"&amp;$B$4&amp;"'!$B$"&amp;$A25&amp;":"&amp;"$H$"&amp;$B25), G$2, FALSE)</f>
        <v>6.8</v>
      </c>
      <c r="H25" s="27">
        <f t="shared" ca="1" si="6"/>
        <v>6.8</v>
      </c>
      <c r="I25" s="27">
        <f t="shared" ca="1" si="6"/>
        <v>6.7</v>
      </c>
      <c r="J25" s="27">
        <f t="shared" ca="1" si="6"/>
        <v>6.7</v>
      </c>
      <c r="K25" s="27">
        <f t="shared" ca="1" si="6"/>
        <v>6.7</v>
      </c>
      <c r="L25" s="28">
        <f t="shared" ca="1" si="6"/>
        <v>6.6</v>
      </c>
    </row>
    <row r="26" spans="1:12" ht="14.25" x14ac:dyDescent="0.2">
      <c r="A26" s="59">
        <v>240</v>
      </c>
      <c r="B26" s="59">
        <v>243</v>
      </c>
      <c r="C26" s="59" t="s">
        <v>74</v>
      </c>
      <c r="E26" s="20" t="s">
        <v>29</v>
      </c>
      <c r="F26" s="25" t="s">
        <v>16</v>
      </c>
      <c r="G26" s="21">
        <f t="shared" ca="1" si="7"/>
        <v>406800</v>
      </c>
      <c r="H26" s="22">
        <f t="shared" ca="1" si="6"/>
        <v>406800</v>
      </c>
      <c r="I26" s="22">
        <f t="shared" ca="1" si="6"/>
        <v>404400</v>
      </c>
      <c r="J26" s="22">
        <f t="shared" ca="1" si="6"/>
        <v>404400</v>
      </c>
      <c r="K26" s="22">
        <f t="shared" ca="1" si="6"/>
        <v>403200</v>
      </c>
      <c r="L26" s="23">
        <f t="shared" ca="1" si="6"/>
        <v>393600</v>
      </c>
    </row>
    <row r="27" spans="1:12" x14ac:dyDescent="0.2">
      <c r="E27" s="5" t="s">
        <v>19</v>
      </c>
      <c r="F27" s="24"/>
      <c r="G27" s="29"/>
      <c r="H27" s="24"/>
      <c r="I27" s="24"/>
      <c r="J27" s="24"/>
      <c r="K27" s="24"/>
      <c r="L27" s="30"/>
    </row>
    <row r="28" spans="1:12" ht="14.25" x14ac:dyDescent="0.2">
      <c r="A28" s="59">
        <v>240</v>
      </c>
      <c r="B28" s="59">
        <v>243</v>
      </c>
      <c r="C28" s="59" t="s">
        <v>281</v>
      </c>
      <c r="E28" s="20" t="s">
        <v>27</v>
      </c>
      <c r="F28" s="25" t="s">
        <v>16</v>
      </c>
      <c r="G28" s="26">
        <f t="shared" ref="G28:L30" ca="1" si="8">VLOOKUP($C28, INDIRECT("'"&amp;$B$4&amp;"'!$B$"&amp;$A28&amp;":"&amp;"$H$"&amp;$B28), G$2, FALSE)*G$17/G$16</f>
        <v>26.275667189952905</v>
      </c>
      <c r="H28" s="27">
        <f t="shared" ca="1" si="8"/>
        <v>26.317111459968604</v>
      </c>
      <c r="I28" s="27">
        <f t="shared" ca="1" si="8"/>
        <v>26.358490566037737</v>
      </c>
      <c r="J28" s="27">
        <f t="shared" ca="1" si="8"/>
        <v>26.358490566037737</v>
      </c>
      <c r="K28" s="27">
        <f t="shared" ca="1" si="8"/>
        <v>26.4</v>
      </c>
      <c r="L28" s="28">
        <f t="shared" ca="1" si="8"/>
        <v>26.358555729984303</v>
      </c>
    </row>
    <row r="29" spans="1:12" ht="14.25" x14ac:dyDescent="0.2">
      <c r="A29" s="59">
        <v>240</v>
      </c>
      <c r="B29" s="59">
        <v>243</v>
      </c>
      <c r="C29" s="59" t="s">
        <v>73</v>
      </c>
      <c r="E29" s="20" t="s">
        <v>28</v>
      </c>
      <c r="F29" s="25" t="s">
        <v>16</v>
      </c>
      <c r="G29" s="26">
        <f t="shared" ca="1" si="8"/>
        <v>6.7679748822605967</v>
      </c>
      <c r="H29" s="27">
        <f t="shared" ca="1" si="8"/>
        <v>6.7786499215070641</v>
      </c>
      <c r="I29" s="27">
        <f t="shared" ca="1" si="8"/>
        <v>6.6894654088050318</v>
      </c>
      <c r="J29" s="27">
        <f t="shared" ca="1" si="8"/>
        <v>6.6894654088050318</v>
      </c>
      <c r="K29" s="27">
        <f t="shared" ca="1" si="8"/>
        <v>6.7</v>
      </c>
      <c r="L29" s="28">
        <f t="shared" ca="1" si="8"/>
        <v>6.5896389324960758</v>
      </c>
    </row>
    <row r="30" spans="1:12" ht="14.25" x14ac:dyDescent="0.2">
      <c r="A30" s="59">
        <v>240</v>
      </c>
      <c r="B30" s="59">
        <v>243</v>
      </c>
      <c r="C30" s="59" t="s">
        <v>74</v>
      </c>
      <c r="E30" s="20" t="s">
        <v>29</v>
      </c>
      <c r="F30" s="25" t="s">
        <v>16</v>
      </c>
      <c r="G30" s="21">
        <f t="shared" ca="1" si="8"/>
        <v>404884.14442700159</v>
      </c>
      <c r="H30" s="22">
        <f t="shared" ca="1" si="8"/>
        <v>405522.76295133436</v>
      </c>
      <c r="I30" s="22">
        <f t="shared" ca="1" si="8"/>
        <v>403764.15094339621</v>
      </c>
      <c r="J30" s="22">
        <f t="shared" ca="1" si="8"/>
        <v>403764.15094339621</v>
      </c>
      <c r="K30" s="22">
        <f t="shared" ca="1" si="8"/>
        <v>403200</v>
      </c>
      <c r="L30" s="23">
        <f t="shared" ca="1" si="8"/>
        <v>392982.10361067503</v>
      </c>
    </row>
    <row r="31" spans="1:12" x14ac:dyDescent="0.2">
      <c r="E31" s="5" t="s">
        <v>325</v>
      </c>
      <c r="F31" s="24"/>
      <c r="G31" s="21"/>
      <c r="H31" s="22"/>
      <c r="I31" s="22"/>
      <c r="J31" s="22"/>
      <c r="K31" s="22"/>
      <c r="L31" s="23"/>
    </row>
    <row r="32" spans="1:12" ht="14.25" x14ac:dyDescent="0.2">
      <c r="A32" s="59">
        <v>247</v>
      </c>
      <c r="B32" s="59">
        <v>250</v>
      </c>
      <c r="C32" s="59" t="s">
        <v>72</v>
      </c>
      <c r="E32" s="20" t="s">
        <v>27</v>
      </c>
      <c r="F32" s="25" t="s">
        <v>16</v>
      </c>
      <c r="G32" s="26">
        <f ca="1">VLOOKUP($C32, INDIRECT("'"&amp;$B$4&amp;"'!$B$"&amp;$A32&amp;":"&amp;"$H$"&amp;$B32), G$2, FALSE)</f>
        <v>96</v>
      </c>
      <c r="H32" s="22">
        <f t="shared" ref="H32:L34" ca="1" si="9">VLOOKUP($C32, INDIRECT("'"&amp;$B$4&amp;"'!$B$"&amp;$A32&amp;":"&amp;"$H$"&amp;$B32), H$2, FALSE)</f>
        <v>96</v>
      </c>
      <c r="I32" s="22">
        <f t="shared" ca="1" si="9"/>
        <v>96</v>
      </c>
      <c r="J32" s="22">
        <f t="shared" ca="1" si="9"/>
        <v>96</v>
      </c>
      <c r="K32" s="22">
        <f t="shared" ca="1" si="9"/>
        <v>96</v>
      </c>
      <c r="L32" s="23">
        <f t="shared" ca="1" si="9"/>
        <v>96</v>
      </c>
    </row>
    <row r="33" spans="1:12" ht="14.25" x14ac:dyDescent="0.2">
      <c r="A33" s="59">
        <v>247</v>
      </c>
      <c r="B33" s="59">
        <v>250</v>
      </c>
      <c r="C33" s="59" t="s">
        <v>73</v>
      </c>
      <c r="E33" s="20" t="s">
        <v>28</v>
      </c>
      <c r="F33" s="25" t="s">
        <v>16</v>
      </c>
      <c r="G33" s="21">
        <f t="shared" ref="G33:G34" ca="1" si="10">VLOOKUP($C33, INDIRECT("'"&amp;$B$4&amp;"'!$B$"&amp;$A33&amp;":"&amp;"$H$"&amp;$B33), G$2, FALSE)</f>
        <v>5.2</v>
      </c>
      <c r="H33" s="22">
        <f t="shared" ca="1" si="9"/>
        <v>5.2</v>
      </c>
      <c r="I33" s="22">
        <f t="shared" ca="1" si="9"/>
        <v>5.2</v>
      </c>
      <c r="J33" s="22">
        <f t="shared" ca="1" si="9"/>
        <v>5.2</v>
      </c>
      <c r="K33" s="22">
        <f t="shared" ca="1" si="9"/>
        <v>5.0999999999999996</v>
      </c>
      <c r="L33" s="23">
        <f t="shared" ca="1" si="9"/>
        <v>5.2</v>
      </c>
    </row>
    <row r="34" spans="1:12" ht="14.25" x14ac:dyDescent="0.2">
      <c r="A34" s="59">
        <v>247</v>
      </c>
      <c r="B34" s="59">
        <v>250</v>
      </c>
      <c r="C34" s="59" t="s">
        <v>74</v>
      </c>
      <c r="E34" s="20" t="s">
        <v>29</v>
      </c>
      <c r="F34" s="25" t="s">
        <v>16</v>
      </c>
      <c r="G34" s="21">
        <f t="shared" ca="1" si="10"/>
        <v>545600</v>
      </c>
      <c r="H34" s="22">
        <f t="shared" ca="1" si="9"/>
        <v>545600</v>
      </c>
      <c r="I34" s="22">
        <f t="shared" ca="1" si="9"/>
        <v>542400</v>
      </c>
      <c r="J34" s="22">
        <f t="shared" ca="1" si="9"/>
        <v>542400</v>
      </c>
      <c r="K34" s="22">
        <f t="shared" ca="1" si="9"/>
        <v>540800</v>
      </c>
      <c r="L34" s="23">
        <f t="shared" ca="1" si="9"/>
        <v>544000</v>
      </c>
    </row>
    <row r="35" spans="1:12" x14ac:dyDescent="0.2">
      <c r="E35" s="5" t="s">
        <v>17</v>
      </c>
      <c r="F35" s="24"/>
      <c r="G35" s="29"/>
      <c r="H35" s="24"/>
      <c r="I35" s="24"/>
      <c r="J35" s="24"/>
      <c r="K35" s="24"/>
      <c r="L35" s="30"/>
    </row>
    <row r="36" spans="1:12" ht="14.25" x14ac:dyDescent="0.2">
      <c r="A36" s="59">
        <v>247</v>
      </c>
      <c r="B36" s="59">
        <v>250</v>
      </c>
      <c r="C36" s="59" t="s">
        <v>72</v>
      </c>
      <c r="E36" s="20" t="s">
        <v>27</v>
      </c>
      <c r="F36" s="25" t="s">
        <v>16</v>
      </c>
      <c r="G36" s="26">
        <f t="shared" ref="G36:L38" ca="1" si="11">VLOOKUP($C36, INDIRECT("'"&amp;$B$4&amp;"'!$B$"&amp;$A36&amp;":"&amp;"$H$"&amp;$B36), G$2, FALSE)*G$17/G$16</f>
        <v>95.547880690737827</v>
      </c>
      <c r="H36" s="27">
        <f t="shared" ca="1" si="11"/>
        <v>95.698587127158561</v>
      </c>
      <c r="I36" s="27">
        <f t="shared" ca="1" si="11"/>
        <v>95.84905660377359</v>
      </c>
      <c r="J36" s="27">
        <f t="shared" ca="1" si="11"/>
        <v>95.84905660377359</v>
      </c>
      <c r="K36" s="27">
        <f t="shared" ca="1" si="11"/>
        <v>96</v>
      </c>
      <c r="L36" s="28">
        <f t="shared" ca="1" si="11"/>
        <v>95.84929356357928</v>
      </c>
    </row>
    <row r="37" spans="1:12" ht="14.25" x14ac:dyDescent="0.2">
      <c r="A37" s="59">
        <v>247</v>
      </c>
      <c r="B37" s="59">
        <v>250</v>
      </c>
      <c r="C37" s="59" t="s">
        <v>73</v>
      </c>
      <c r="E37" s="20" t="s">
        <v>28</v>
      </c>
      <c r="F37" s="25" t="s">
        <v>16</v>
      </c>
      <c r="G37" s="26">
        <f t="shared" ca="1" si="11"/>
        <v>5.1755102040816325</v>
      </c>
      <c r="H37" s="27">
        <f t="shared" ca="1" si="11"/>
        <v>5.1836734693877551</v>
      </c>
      <c r="I37" s="27">
        <f t="shared" ca="1" si="11"/>
        <v>5.1918238993710695</v>
      </c>
      <c r="J37" s="27">
        <f t="shared" ca="1" si="11"/>
        <v>5.1918238993710695</v>
      </c>
      <c r="K37" s="27">
        <f t="shared" ca="1" si="11"/>
        <v>5.0999999999999996</v>
      </c>
      <c r="L37" s="28">
        <f t="shared" ca="1" si="11"/>
        <v>5.1918367346938776</v>
      </c>
    </row>
    <row r="38" spans="1:12" ht="14.25" x14ac:dyDescent="0.2">
      <c r="A38" s="59">
        <v>247</v>
      </c>
      <c r="B38" s="59">
        <v>250</v>
      </c>
      <c r="C38" s="59" t="s">
        <v>74</v>
      </c>
      <c r="E38" s="20" t="s">
        <v>29</v>
      </c>
      <c r="F38" s="25" t="s">
        <v>16</v>
      </c>
      <c r="G38" s="21">
        <f t="shared" ca="1" si="11"/>
        <v>543030.45525902673</v>
      </c>
      <c r="H38" s="22">
        <f t="shared" ca="1" si="11"/>
        <v>543886.97017268441</v>
      </c>
      <c r="I38" s="22">
        <f t="shared" ca="1" si="11"/>
        <v>541547.16981132072</v>
      </c>
      <c r="J38" s="22">
        <f t="shared" ca="1" si="11"/>
        <v>541547.16981132072</v>
      </c>
      <c r="K38" s="22">
        <f t="shared" ca="1" si="11"/>
        <v>540800</v>
      </c>
      <c r="L38" s="23">
        <f t="shared" ca="1" si="11"/>
        <v>543145.99686028261</v>
      </c>
    </row>
    <row r="39" spans="1:12" x14ac:dyDescent="0.2">
      <c r="E39" s="4" t="s">
        <v>21</v>
      </c>
      <c r="F39" s="25"/>
      <c r="G39" s="29"/>
      <c r="H39" s="24"/>
      <c r="I39" s="24"/>
      <c r="J39" s="24"/>
      <c r="K39" s="24"/>
      <c r="L39" s="30"/>
    </row>
    <row r="40" spans="1:12" x14ac:dyDescent="0.2">
      <c r="E40" s="31"/>
      <c r="F40" s="8"/>
      <c r="G40" s="53"/>
      <c r="H40" s="54"/>
      <c r="I40" s="54"/>
      <c r="J40" s="54"/>
      <c r="K40" s="54"/>
      <c r="L40" s="55"/>
    </row>
    <row r="41" spans="1:12" ht="25.5" x14ac:dyDescent="0.2">
      <c r="A41" s="303" t="s">
        <v>354</v>
      </c>
      <c r="B41" s="303"/>
      <c r="C41" s="303"/>
      <c r="E41" s="31" t="s">
        <v>277</v>
      </c>
      <c r="F41" s="8" t="s">
        <v>8</v>
      </c>
      <c r="G41" s="53">
        <v>3490</v>
      </c>
      <c r="H41" s="54">
        <v>3490</v>
      </c>
      <c r="I41" s="54">
        <v>3490</v>
      </c>
      <c r="J41" s="54">
        <v>3490</v>
      </c>
      <c r="K41" s="54">
        <v>3490</v>
      </c>
      <c r="L41" s="55">
        <v>3490</v>
      </c>
    </row>
    <row r="42" spans="1:12" ht="13.5" thickBot="1" x14ac:dyDescent="0.25">
      <c r="A42" s="59">
        <v>23</v>
      </c>
      <c r="B42" s="59">
        <v>23</v>
      </c>
      <c r="C42" s="59" t="s">
        <v>89</v>
      </c>
      <c r="E42" s="32" t="s">
        <v>7</v>
      </c>
      <c r="F42" s="52" t="s">
        <v>12</v>
      </c>
      <c r="G42" s="56">
        <f ca="1">VLOOKUP($C42, INDIRECT("'"&amp;$B$4&amp;"'!$B$"&amp;$A42&amp;":"&amp;"$H$"&amp;$B42), G$2, FALSE)</f>
        <v>2.92E-2</v>
      </c>
      <c r="H42" s="57">
        <f t="shared" ref="H42:L42" ca="1" si="12">VLOOKUP($C42, INDIRECT("'"&amp;$B$4&amp;"'!$B$"&amp;$A42&amp;":"&amp;"$H$"&amp;$B42), H$2, FALSE)</f>
        <v>2.92E-2</v>
      </c>
      <c r="I42" s="57">
        <f t="shared" ca="1" si="12"/>
        <v>2.92E-2</v>
      </c>
      <c r="J42" s="57">
        <f t="shared" ca="1" si="12"/>
        <v>2.92E-2</v>
      </c>
      <c r="K42" s="57">
        <f t="shared" ca="1" si="12"/>
        <v>2.92E-2</v>
      </c>
      <c r="L42" s="58">
        <f t="shared" ca="1" si="12"/>
        <v>2.92E-2</v>
      </c>
    </row>
    <row r="43" spans="1:12" ht="12.75" customHeight="1" x14ac:dyDescent="0.2">
      <c r="E43" s="6" t="s">
        <v>20</v>
      </c>
      <c r="F43" s="24"/>
      <c r="G43" s="34"/>
      <c r="H43" s="35"/>
      <c r="I43" s="35"/>
      <c r="J43" s="35"/>
      <c r="K43" s="35"/>
      <c r="L43" s="36"/>
    </row>
    <row r="44" spans="1:12" x14ac:dyDescent="0.2">
      <c r="A44" s="59">
        <v>213</v>
      </c>
      <c r="B44" s="59">
        <v>216</v>
      </c>
      <c r="C44" s="59" t="s">
        <v>370</v>
      </c>
      <c r="E44" s="20" t="s">
        <v>24</v>
      </c>
      <c r="F44" s="8" t="s">
        <v>10</v>
      </c>
      <c r="G44" s="191">
        <f ca="1">VLOOKUP($C44, INDIRECT("'"&amp;$B$4&amp;"'!$B$"&amp;$A44&amp;":"&amp;"$H$"&amp;$B44), G$2, FALSE)</f>
        <v>1.54</v>
      </c>
      <c r="H44" s="41">
        <f t="shared" ref="H44:L46" ca="1" si="13">VLOOKUP($C44, INDIRECT("'"&amp;$B$4&amp;"'!$B$"&amp;$A44&amp;":"&amp;"$H$"&amp;$B44), H$2, FALSE)</f>
        <v>1.57</v>
      </c>
      <c r="I44" s="41">
        <f t="shared" ca="1" si="13"/>
        <v>1.55</v>
      </c>
      <c r="J44" s="41">
        <f t="shared" ca="1" si="13"/>
        <v>1.55</v>
      </c>
      <c r="K44" s="41">
        <f t="shared" ca="1" si="13"/>
        <v>1.55</v>
      </c>
      <c r="L44" s="42">
        <f t="shared" ca="1" si="13"/>
        <v>1.55</v>
      </c>
    </row>
    <row r="45" spans="1:12" x14ac:dyDescent="0.2">
      <c r="A45" s="59">
        <v>224</v>
      </c>
      <c r="B45" s="59">
        <v>227</v>
      </c>
      <c r="C45" s="59" t="s">
        <v>370</v>
      </c>
      <c r="E45" s="20" t="s">
        <v>25</v>
      </c>
      <c r="F45" s="8" t="s">
        <v>10</v>
      </c>
      <c r="G45" s="40">
        <f t="shared" ref="G45:G46" ca="1" si="14">VLOOKUP($C45, INDIRECT("'"&amp;$B$4&amp;"'!$B$"&amp;$A45&amp;":"&amp;"$H$"&amp;$B45), G$2, FALSE)</f>
        <v>1.73</v>
      </c>
      <c r="H45" s="41">
        <f t="shared" ca="1" si="13"/>
        <v>2.09</v>
      </c>
      <c r="I45" s="41">
        <f t="shared" ca="1" si="13"/>
        <v>1.7</v>
      </c>
      <c r="J45" s="41">
        <f t="shared" ca="1" si="13"/>
        <v>1.7</v>
      </c>
      <c r="K45" s="41">
        <f t="shared" ca="1" si="13"/>
        <v>1.7</v>
      </c>
      <c r="L45" s="42">
        <f t="shared" ca="1" si="13"/>
        <v>1.7</v>
      </c>
    </row>
    <row r="46" spans="1:12" ht="13.5" thickBot="1" x14ac:dyDescent="0.25">
      <c r="A46" s="59">
        <v>206</v>
      </c>
      <c r="B46" s="59">
        <v>209</v>
      </c>
      <c r="C46" s="59" t="s">
        <v>163</v>
      </c>
      <c r="E46" s="32" t="s">
        <v>6</v>
      </c>
      <c r="F46" s="33" t="s">
        <v>9</v>
      </c>
      <c r="G46" s="43">
        <f t="shared" ca="1" si="14"/>
        <v>16200</v>
      </c>
      <c r="H46" s="44">
        <f t="shared" ca="1" si="13"/>
        <v>16200</v>
      </c>
      <c r="I46" s="44">
        <f t="shared" ca="1" si="13"/>
        <v>16200</v>
      </c>
      <c r="J46" s="44">
        <f t="shared" ca="1" si="13"/>
        <v>16200</v>
      </c>
      <c r="K46" s="44">
        <f t="shared" ca="1" si="13"/>
        <v>16200</v>
      </c>
      <c r="L46" s="45">
        <f t="shared" ca="1" si="13"/>
        <v>16200</v>
      </c>
    </row>
    <row r="48" spans="1:12" x14ac:dyDescent="0.2">
      <c r="E48" s="10" t="s">
        <v>400</v>
      </c>
    </row>
  </sheetData>
  <mergeCells count="3">
    <mergeCell ref="G4:L4"/>
    <mergeCell ref="G6:L6"/>
    <mergeCell ref="A41:C41"/>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B247"/>
  <sheetViews>
    <sheetView zoomScale="55" zoomScaleNormal="55" workbookViewId="0"/>
  </sheetViews>
  <sheetFormatPr defaultColWidth="10.6640625" defaultRowHeight="15" x14ac:dyDescent="0.2"/>
  <cols>
    <col min="1" max="1" width="14.83203125" style="61" customWidth="1"/>
    <col min="2" max="2" width="63.332031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10" t="s">
        <v>76</v>
      </c>
      <c r="C2" s="311"/>
      <c r="D2" s="311"/>
      <c r="E2" s="311"/>
      <c r="F2" s="311"/>
      <c r="G2" s="311"/>
      <c r="H2" s="312"/>
    </row>
    <row r="3" spans="2:8" ht="15.75" x14ac:dyDescent="0.2">
      <c r="B3" s="313" t="s">
        <v>204</v>
      </c>
      <c r="C3" s="314"/>
      <c r="D3" s="314"/>
      <c r="E3" s="314"/>
      <c r="F3" s="314"/>
      <c r="G3" s="314"/>
      <c r="H3" s="315"/>
    </row>
    <row r="4" spans="2:8" ht="15.75" x14ac:dyDescent="0.2">
      <c r="B4" s="316" t="s">
        <v>78</v>
      </c>
      <c r="C4" s="317"/>
      <c r="D4" s="317"/>
      <c r="E4" s="317"/>
      <c r="F4" s="317"/>
      <c r="G4" s="317"/>
      <c r="H4" s="318"/>
    </row>
    <row r="5" spans="2:8" ht="16.5" thickBot="1" x14ac:dyDescent="0.25">
      <c r="B5" s="319" t="s">
        <v>350</v>
      </c>
      <c r="C5" s="320"/>
      <c r="D5" s="320"/>
      <c r="E5" s="320"/>
      <c r="F5" s="320"/>
      <c r="G5" s="320"/>
      <c r="H5" s="321"/>
    </row>
    <row r="6" spans="2:8" ht="48.6" customHeight="1" thickTop="1" thickBot="1" x14ac:dyDescent="0.25">
      <c r="B6" s="65" t="s">
        <v>79</v>
      </c>
      <c r="C6" s="66" t="s">
        <v>65</v>
      </c>
      <c r="D6" s="66" t="s">
        <v>64</v>
      </c>
      <c r="E6" s="66" t="s">
        <v>62</v>
      </c>
      <c r="F6" s="66" t="s">
        <v>63</v>
      </c>
      <c r="G6" s="66" t="s">
        <v>61</v>
      </c>
      <c r="H6" s="67" t="s">
        <v>60</v>
      </c>
    </row>
    <row r="7" spans="2:8" ht="15.6" customHeight="1" thickTop="1" thickBot="1" x14ac:dyDescent="0.25">
      <c r="B7" s="68" t="s">
        <v>80</v>
      </c>
      <c r="C7" s="69"/>
      <c r="D7" s="69"/>
      <c r="E7" s="69"/>
      <c r="F7" s="69"/>
      <c r="G7" s="70"/>
      <c r="H7" s="71"/>
    </row>
    <row r="8" spans="2:8" ht="15.75" thickTop="1" x14ac:dyDescent="0.2">
      <c r="B8" s="72" t="s">
        <v>81</v>
      </c>
      <c r="C8" s="73">
        <v>3</v>
      </c>
      <c r="D8" s="73">
        <v>3</v>
      </c>
      <c r="E8" s="73">
        <v>3</v>
      </c>
      <c r="F8" s="73">
        <v>3</v>
      </c>
      <c r="G8" s="73">
        <v>3</v>
      </c>
      <c r="H8" s="74">
        <v>3</v>
      </c>
    </row>
    <row r="9" spans="2:8" x14ac:dyDescent="0.2">
      <c r="B9" s="75" t="s">
        <v>82</v>
      </c>
      <c r="C9" s="76" t="s">
        <v>205</v>
      </c>
      <c r="D9" s="76" t="s">
        <v>205</v>
      </c>
      <c r="E9" s="76" t="s">
        <v>205</v>
      </c>
      <c r="F9" s="76" t="s">
        <v>205</v>
      </c>
      <c r="G9" s="76" t="s">
        <v>205</v>
      </c>
      <c r="H9" s="77" t="s">
        <v>205</v>
      </c>
    </row>
    <row r="10" spans="2:8" ht="15" customHeight="1" x14ac:dyDescent="0.2">
      <c r="B10" s="78" t="s">
        <v>84</v>
      </c>
      <c r="C10" s="79">
        <v>5</v>
      </c>
      <c r="D10" s="79">
        <v>5</v>
      </c>
      <c r="E10" s="79">
        <v>5</v>
      </c>
      <c r="F10" s="79">
        <v>5</v>
      </c>
      <c r="G10" s="79">
        <v>5</v>
      </c>
      <c r="H10" s="80">
        <v>5</v>
      </c>
    </row>
    <row r="11" spans="2:8" ht="15" customHeight="1" x14ac:dyDescent="0.2">
      <c r="B11" s="78" t="s">
        <v>86</v>
      </c>
      <c r="C11" s="79">
        <v>4</v>
      </c>
      <c r="D11" s="79">
        <v>4</v>
      </c>
      <c r="E11" s="79">
        <v>4</v>
      </c>
      <c r="F11" s="79">
        <v>4</v>
      </c>
      <c r="G11" s="79">
        <v>4</v>
      </c>
      <c r="H11" s="80">
        <v>4</v>
      </c>
    </row>
    <row r="12" spans="2:8" ht="15" customHeight="1" x14ac:dyDescent="0.2">
      <c r="B12" s="78" t="s">
        <v>88</v>
      </c>
      <c r="C12" s="79">
        <v>45</v>
      </c>
      <c r="D12" s="79">
        <v>45</v>
      </c>
      <c r="E12" s="79">
        <v>45</v>
      </c>
      <c r="F12" s="79">
        <v>45</v>
      </c>
      <c r="G12" s="79">
        <v>45</v>
      </c>
      <c r="H12" s="80">
        <v>45</v>
      </c>
    </row>
    <row r="13" spans="2:8" hidden="1" x14ac:dyDescent="0.2">
      <c r="B13" s="78"/>
      <c r="C13" s="81"/>
      <c r="D13" s="81"/>
      <c r="E13" s="81"/>
      <c r="F13" s="81"/>
      <c r="G13" s="81"/>
      <c r="H13" s="82"/>
    </row>
    <row r="14" spans="2:8" hidden="1" x14ac:dyDescent="0.2">
      <c r="B14" s="78"/>
      <c r="C14" s="79"/>
      <c r="D14" s="79"/>
      <c r="E14" s="79"/>
      <c r="F14" s="79"/>
      <c r="G14" s="79"/>
      <c r="H14" s="80"/>
    </row>
    <row r="15" spans="2:8" hidden="1" x14ac:dyDescent="0.2">
      <c r="B15" s="78"/>
      <c r="C15" s="79"/>
      <c r="D15" s="79"/>
      <c r="E15" s="79"/>
      <c r="F15" s="79"/>
      <c r="G15" s="79"/>
      <c r="H15" s="80"/>
    </row>
    <row r="16" spans="2:8" x14ac:dyDescent="0.2">
      <c r="B16" s="85" t="s">
        <v>89</v>
      </c>
      <c r="C16" s="83">
        <v>0.1003</v>
      </c>
      <c r="D16" s="83">
        <v>0.1003</v>
      </c>
      <c r="E16" s="83">
        <v>0.1003</v>
      </c>
      <c r="F16" s="83">
        <v>0.1003</v>
      </c>
      <c r="G16" s="83">
        <v>0.1003</v>
      </c>
      <c r="H16" s="84">
        <v>0.1003</v>
      </c>
    </row>
    <row r="17" spans="2:8" hidden="1" x14ac:dyDescent="0.2">
      <c r="B17" s="85"/>
      <c r="C17" s="83"/>
      <c r="D17" s="83"/>
      <c r="E17" s="83"/>
      <c r="F17" s="83"/>
      <c r="G17" s="83"/>
      <c r="H17" s="84"/>
    </row>
    <row r="18" spans="2:8" x14ac:dyDescent="0.2">
      <c r="B18" s="85" t="s">
        <v>90</v>
      </c>
      <c r="C18" s="86">
        <v>15</v>
      </c>
      <c r="D18" s="86">
        <v>15</v>
      </c>
      <c r="E18" s="86">
        <v>15</v>
      </c>
      <c r="F18" s="86">
        <v>15</v>
      </c>
      <c r="G18" s="86">
        <v>15</v>
      </c>
      <c r="H18" s="87">
        <v>15</v>
      </c>
    </row>
    <row r="19" spans="2:8" ht="30" x14ac:dyDescent="0.2">
      <c r="B19" s="78" t="s">
        <v>91</v>
      </c>
      <c r="C19" s="88" t="s">
        <v>92</v>
      </c>
      <c r="D19" s="88" t="s">
        <v>92</v>
      </c>
      <c r="E19" s="88" t="s">
        <v>92</v>
      </c>
      <c r="F19" s="88" t="s">
        <v>92</v>
      </c>
      <c r="G19" s="88" t="s">
        <v>92</v>
      </c>
      <c r="H19" s="89" t="s">
        <v>92</v>
      </c>
    </row>
    <row r="20" spans="2:8" ht="15" customHeight="1" x14ac:dyDescent="0.2">
      <c r="B20" s="78" t="s">
        <v>93</v>
      </c>
      <c r="C20" s="88" t="s">
        <v>94</v>
      </c>
      <c r="D20" s="88" t="s">
        <v>94</v>
      </c>
      <c r="E20" s="88" t="s">
        <v>94</v>
      </c>
      <c r="F20" s="88" t="s">
        <v>94</v>
      </c>
      <c r="G20" s="88" t="s">
        <v>94</v>
      </c>
      <c r="H20" s="89" t="s">
        <v>94</v>
      </c>
    </row>
    <row r="21" spans="2:8" ht="15" customHeight="1" x14ac:dyDescent="0.2">
      <c r="B21" s="75" t="s">
        <v>95</v>
      </c>
      <c r="C21" s="90" t="s">
        <v>96</v>
      </c>
      <c r="D21" s="90" t="s">
        <v>96</v>
      </c>
      <c r="E21" s="90" t="s">
        <v>96</v>
      </c>
      <c r="F21" s="90" t="s">
        <v>96</v>
      </c>
      <c r="G21" s="90" t="s">
        <v>96</v>
      </c>
      <c r="H21" s="91" t="s">
        <v>96</v>
      </c>
    </row>
    <row r="22" spans="2:8" ht="33" customHeight="1" x14ac:dyDescent="0.2">
      <c r="B22" s="85" t="s">
        <v>97</v>
      </c>
      <c r="C22" s="88" t="s">
        <v>98</v>
      </c>
      <c r="D22" s="88" t="s">
        <v>98</v>
      </c>
      <c r="E22" s="88" t="s">
        <v>98</v>
      </c>
      <c r="F22" s="88" t="s">
        <v>98</v>
      </c>
      <c r="G22" s="88" t="s">
        <v>98</v>
      </c>
      <c r="H22" s="89" t="s">
        <v>98</v>
      </c>
    </row>
    <row r="23" spans="2:8" ht="33" customHeight="1" x14ac:dyDescent="0.2">
      <c r="B23" s="85" t="s">
        <v>99</v>
      </c>
      <c r="C23" s="88" t="s">
        <v>100</v>
      </c>
      <c r="D23" s="88" t="s">
        <v>100</v>
      </c>
      <c r="E23" s="88" t="s">
        <v>100</v>
      </c>
      <c r="F23" s="88" t="s">
        <v>100</v>
      </c>
      <c r="G23" s="88" t="s">
        <v>100</v>
      </c>
      <c r="H23" s="89" t="s">
        <v>100</v>
      </c>
    </row>
    <row r="24" spans="2:8" ht="33" customHeight="1" x14ac:dyDescent="0.2">
      <c r="B24" s="75" t="s">
        <v>101</v>
      </c>
      <c r="C24" s="90" t="s">
        <v>102</v>
      </c>
      <c r="D24" s="90" t="s">
        <v>102</v>
      </c>
      <c r="E24" s="90" t="s">
        <v>102</v>
      </c>
      <c r="F24" s="90" t="s">
        <v>102</v>
      </c>
      <c r="G24" s="90" t="s">
        <v>102</v>
      </c>
      <c r="H24" s="91" t="s">
        <v>102</v>
      </c>
    </row>
    <row r="25" spans="2:8" x14ac:dyDescent="0.2">
      <c r="B25" s="75" t="s">
        <v>103</v>
      </c>
      <c r="C25" s="92">
        <v>345</v>
      </c>
      <c r="D25" s="92">
        <v>345</v>
      </c>
      <c r="E25" s="92">
        <v>345</v>
      </c>
      <c r="F25" s="92">
        <v>345</v>
      </c>
      <c r="G25" s="92">
        <v>345</v>
      </c>
      <c r="H25" s="93">
        <v>138</v>
      </c>
    </row>
    <row r="26" spans="2:8" ht="15" customHeight="1" x14ac:dyDescent="0.2">
      <c r="B26" s="75" t="s">
        <v>104</v>
      </c>
      <c r="C26" s="90" t="s">
        <v>105</v>
      </c>
      <c r="D26" s="90" t="s">
        <v>105</v>
      </c>
      <c r="E26" s="90" t="s">
        <v>105</v>
      </c>
      <c r="F26" s="90" t="s">
        <v>105</v>
      </c>
      <c r="G26" s="90" t="s">
        <v>105</v>
      </c>
      <c r="H26" s="91" t="s">
        <v>105</v>
      </c>
    </row>
    <row r="27" spans="2:8" ht="15" customHeight="1" x14ac:dyDescent="0.2">
      <c r="B27" s="75" t="s">
        <v>106</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107</v>
      </c>
      <c r="C29" s="70"/>
      <c r="D29" s="70"/>
      <c r="E29" s="70"/>
      <c r="F29" s="70"/>
      <c r="G29" s="70"/>
      <c r="H29" s="71"/>
    </row>
    <row r="30" spans="2:8" ht="15.75" thickTop="1" x14ac:dyDescent="0.2">
      <c r="B30" s="96"/>
      <c r="C30" s="97"/>
      <c r="D30" s="97"/>
      <c r="E30" s="97"/>
      <c r="F30" s="97"/>
      <c r="G30" s="97"/>
      <c r="H30" s="98"/>
    </row>
    <row r="31" spans="2:8" x14ac:dyDescent="0.2">
      <c r="B31" s="78" t="s">
        <v>108</v>
      </c>
      <c r="C31" s="99"/>
      <c r="D31" s="99"/>
      <c r="E31" s="99"/>
      <c r="F31" s="99"/>
      <c r="G31" s="99"/>
      <c r="H31" s="100"/>
    </row>
    <row r="32" spans="2:8" x14ac:dyDescent="0.2">
      <c r="B32" s="101" t="s">
        <v>109</v>
      </c>
      <c r="C32" s="102">
        <v>77.7</v>
      </c>
      <c r="D32" s="102">
        <v>78.099999999999994</v>
      </c>
      <c r="E32" s="102">
        <v>78.900000000000006</v>
      </c>
      <c r="F32" s="102">
        <v>79.900000000000006</v>
      </c>
      <c r="G32" s="102">
        <v>81.099999999999994</v>
      </c>
      <c r="H32" s="103">
        <v>78</v>
      </c>
    </row>
    <row r="33" spans="2:8" x14ac:dyDescent="0.2">
      <c r="B33" s="101" t="s">
        <v>110</v>
      </c>
      <c r="C33" s="104">
        <v>0.46899999999999997</v>
      </c>
      <c r="D33" s="104">
        <v>0.48</v>
      </c>
      <c r="E33" s="104">
        <v>0.51</v>
      </c>
      <c r="F33" s="104">
        <v>0.48200000000000004</v>
      </c>
      <c r="G33" s="104">
        <v>0.41199999999999998</v>
      </c>
      <c r="H33" s="105">
        <v>0.52700000000000002</v>
      </c>
    </row>
    <row r="34" spans="2:8" x14ac:dyDescent="0.2">
      <c r="B34" s="101" t="s">
        <v>67</v>
      </c>
      <c r="C34" s="99">
        <v>166300</v>
      </c>
      <c r="D34" s="99">
        <v>166300</v>
      </c>
      <c r="E34" s="99">
        <v>165900</v>
      </c>
      <c r="F34" s="99">
        <v>165900</v>
      </c>
      <c r="G34" s="99">
        <v>166400</v>
      </c>
      <c r="H34" s="100">
        <v>166100</v>
      </c>
    </row>
    <row r="35" spans="2:8" x14ac:dyDescent="0.2">
      <c r="B35" s="101" t="s">
        <v>71</v>
      </c>
      <c r="C35" s="99">
        <v>9690</v>
      </c>
      <c r="D35" s="99">
        <v>9700</v>
      </c>
      <c r="E35" s="99">
        <v>9700</v>
      </c>
      <c r="F35" s="99">
        <v>9700</v>
      </c>
      <c r="G35" s="99">
        <v>9690</v>
      </c>
      <c r="H35" s="100">
        <v>9690</v>
      </c>
    </row>
    <row r="36" spans="2:8" x14ac:dyDescent="0.2">
      <c r="B36" s="101" t="s">
        <v>111</v>
      </c>
      <c r="C36" s="99">
        <v>1610</v>
      </c>
      <c r="D36" s="99">
        <v>1610</v>
      </c>
      <c r="E36" s="99">
        <v>1610</v>
      </c>
      <c r="F36" s="99">
        <v>1610</v>
      </c>
      <c r="G36" s="99">
        <v>1610</v>
      </c>
      <c r="H36" s="100">
        <v>1610</v>
      </c>
    </row>
    <row r="37" spans="2:8" ht="15" customHeight="1" x14ac:dyDescent="0.2">
      <c r="B37" s="78"/>
      <c r="C37" s="99"/>
      <c r="D37" s="99"/>
      <c r="E37" s="99"/>
      <c r="F37" s="99"/>
      <c r="G37" s="99"/>
      <c r="H37" s="100"/>
    </row>
    <row r="38" spans="2:8" x14ac:dyDescent="0.2">
      <c r="B38" s="101" t="s">
        <v>112</v>
      </c>
      <c r="C38" s="99">
        <v>22100</v>
      </c>
      <c r="D38" s="99">
        <v>22100</v>
      </c>
      <c r="E38" s="99">
        <v>22000</v>
      </c>
      <c r="F38" s="99">
        <v>21900</v>
      </c>
      <c r="G38" s="99">
        <v>21900</v>
      </c>
      <c r="H38" s="100">
        <v>22100</v>
      </c>
    </row>
    <row r="39" spans="2:8" x14ac:dyDescent="0.2">
      <c r="B39" s="101" t="s">
        <v>113</v>
      </c>
      <c r="C39" s="99">
        <v>12040</v>
      </c>
      <c r="D39" s="99">
        <v>12040</v>
      </c>
      <c r="E39" s="99">
        <v>12050</v>
      </c>
      <c r="F39" s="99">
        <v>12070</v>
      </c>
      <c r="G39" s="99">
        <v>12090</v>
      </c>
      <c r="H39" s="100">
        <v>12030</v>
      </c>
    </row>
    <row r="40" spans="2:8" x14ac:dyDescent="0.2">
      <c r="B40" s="101" t="s">
        <v>114</v>
      </c>
      <c r="C40" s="99">
        <v>270</v>
      </c>
      <c r="D40" s="99">
        <v>270</v>
      </c>
      <c r="E40" s="99">
        <v>270</v>
      </c>
      <c r="F40" s="99">
        <v>260</v>
      </c>
      <c r="G40" s="99">
        <v>260</v>
      </c>
      <c r="H40" s="100">
        <v>270</v>
      </c>
    </row>
    <row r="41" spans="2:8" x14ac:dyDescent="0.2">
      <c r="B41" s="78"/>
      <c r="C41" s="99"/>
      <c r="D41" s="104"/>
      <c r="E41" s="104"/>
      <c r="F41" s="104"/>
      <c r="G41" s="99"/>
      <c r="H41" s="100"/>
    </row>
    <row r="42" spans="2:8" x14ac:dyDescent="0.2">
      <c r="B42" s="78"/>
      <c r="C42" s="99"/>
      <c r="D42" s="104"/>
      <c r="E42" s="104"/>
      <c r="F42" s="104"/>
      <c r="G42" s="99"/>
      <c r="H42" s="106"/>
    </row>
    <row r="43" spans="2:8" x14ac:dyDescent="0.2">
      <c r="B43" s="78" t="s">
        <v>115</v>
      </c>
      <c r="C43" s="99"/>
      <c r="D43" s="99"/>
      <c r="E43" s="99"/>
      <c r="F43" s="99"/>
      <c r="G43" s="99"/>
      <c r="H43" s="100"/>
    </row>
    <row r="44" spans="2:8" x14ac:dyDescent="0.2">
      <c r="B44" s="101" t="s">
        <v>109</v>
      </c>
      <c r="C44" s="102">
        <v>28.4</v>
      </c>
      <c r="D44" s="102">
        <v>29.2</v>
      </c>
      <c r="E44" s="102">
        <v>32.6</v>
      </c>
      <c r="F44" s="102">
        <v>33.200000000000003</v>
      </c>
      <c r="G44" s="102">
        <v>38.1</v>
      </c>
      <c r="H44" s="103">
        <v>35.9</v>
      </c>
    </row>
    <row r="45" spans="2:8" x14ac:dyDescent="0.2">
      <c r="B45" s="101" t="s">
        <v>110</v>
      </c>
      <c r="C45" s="104">
        <v>0.72799999999999998</v>
      </c>
      <c r="D45" s="104">
        <v>0.68299999999999994</v>
      </c>
      <c r="E45" s="104">
        <v>0.66900000000000004</v>
      </c>
      <c r="F45" s="104">
        <v>0.65400000000000003</v>
      </c>
      <c r="G45" s="104">
        <v>0.55000000000000004</v>
      </c>
      <c r="H45" s="105">
        <v>0.622</v>
      </c>
    </row>
    <row r="46" spans="2:8" ht="15" customHeight="1" x14ac:dyDescent="0.2">
      <c r="B46" s="101" t="s">
        <v>67</v>
      </c>
      <c r="C46" s="99">
        <v>188200</v>
      </c>
      <c r="D46" s="99">
        <v>188200</v>
      </c>
      <c r="E46" s="99">
        <v>188200</v>
      </c>
      <c r="F46" s="99">
        <v>188200</v>
      </c>
      <c r="G46" s="99">
        <v>188200</v>
      </c>
      <c r="H46" s="100">
        <v>188200</v>
      </c>
    </row>
    <row r="47" spans="2:8" ht="15" customHeight="1" x14ac:dyDescent="0.2">
      <c r="B47" s="101" t="s">
        <v>71</v>
      </c>
      <c r="C47" s="99">
        <v>9430</v>
      </c>
      <c r="D47" s="99">
        <v>9430</v>
      </c>
      <c r="E47" s="99">
        <v>9430</v>
      </c>
      <c r="F47" s="99">
        <v>9440</v>
      </c>
      <c r="G47" s="99">
        <v>9450</v>
      </c>
      <c r="H47" s="100">
        <v>9440</v>
      </c>
    </row>
    <row r="48" spans="2:8" ht="15" customHeight="1" x14ac:dyDescent="0.2">
      <c r="B48" s="101" t="s">
        <v>111</v>
      </c>
      <c r="C48" s="99">
        <v>1770</v>
      </c>
      <c r="D48" s="99">
        <v>1770</v>
      </c>
      <c r="E48" s="99">
        <v>1770</v>
      </c>
      <c r="F48" s="99">
        <v>1780</v>
      </c>
      <c r="G48" s="99">
        <v>1780</v>
      </c>
      <c r="H48" s="100">
        <v>1780</v>
      </c>
    </row>
    <row r="49" spans="2:8" ht="15" customHeight="1" x14ac:dyDescent="0.2">
      <c r="B49" s="78"/>
      <c r="C49" s="99"/>
      <c r="D49" s="99"/>
      <c r="E49" s="99"/>
      <c r="F49" s="99"/>
      <c r="G49" s="99"/>
      <c r="H49" s="100"/>
    </row>
    <row r="50" spans="2:8" ht="15" customHeight="1" x14ac:dyDescent="0.2">
      <c r="B50" s="101" t="s">
        <v>112</v>
      </c>
      <c r="C50" s="99">
        <v>25700</v>
      </c>
      <c r="D50" s="99">
        <v>25700</v>
      </c>
      <c r="E50" s="99">
        <v>25700</v>
      </c>
      <c r="F50" s="99">
        <v>25700</v>
      </c>
      <c r="G50" s="99">
        <v>25700</v>
      </c>
      <c r="H50" s="100">
        <v>25700</v>
      </c>
    </row>
    <row r="51" spans="2:8" x14ac:dyDescent="0.2">
      <c r="B51" s="101" t="s">
        <v>113</v>
      </c>
      <c r="C51" s="99">
        <v>11540</v>
      </c>
      <c r="D51" s="99">
        <v>11540</v>
      </c>
      <c r="E51" s="99">
        <v>11540</v>
      </c>
      <c r="F51" s="99">
        <v>11540</v>
      </c>
      <c r="G51" s="99">
        <v>11550</v>
      </c>
      <c r="H51" s="100">
        <v>11550</v>
      </c>
    </row>
    <row r="52" spans="2:8" x14ac:dyDescent="0.2">
      <c r="B52" s="101" t="s">
        <v>114</v>
      </c>
      <c r="C52" s="99">
        <v>300</v>
      </c>
      <c r="D52" s="99">
        <v>300</v>
      </c>
      <c r="E52" s="99">
        <v>300</v>
      </c>
      <c r="F52" s="99">
        <v>300</v>
      </c>
      <c r="G52" s="99">
        <v>300</v>
      </c>
      <c r="H52" s="100">
        <v>300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116</v>
      </c>
      <c r="C55" s="99"/>
      <c r="D55" s="99"/>
      <c r="E55" s="99"/>
      <c r="F55" s="99"/>
      <c r="G55" s="99"/>
      <c r="H55" s="100"/>
    </row>
    <row r="56" spans="2:8" x14ac:dyDescent="0.2">
      <c r="B56" s="101" t="s">
        <v>109</v>
      </c>
      <c r="C56" s="102">
        <v>59</v>
      </c>
      <c r="D56" s="102">
        <v>59</v>
      </c>
      <c r="E56" s="102">
        <v>59</v>
      </c>
      <c r="F56" s="102">
        <v>59</v>
      </c>
      <c r="G56" s="102">
        <v>59</v>
      </c>
      <c r="H56" s="103">
        <v>59</v>
      </c>
    </row>
    <row r="57" spans="2:8" x14ac:dyDescent="0.2">
      <c r="B57" s="101" t="s">
        <v>110</v>
      </c>
      <c r="C57" s="104">
        <v>0.6</v>
      </c>
      <c r="D57" s="104">
        <v>0.6</v>
      </c>
      <c r="E57" s="104">
        <v>0.6</v>
      </c>
      <c r="F57" s="104">
        <v>0.6</v>
      </c>
      <c r="G57" s="104">
        <v>0.6</v>
      </c>
      <c r="H57" s="105">
        <v>0.6</v>
      </c>
    </row>
    <row r="58" spans="2:8" x14ac:dyDescent="0.2">
      <c r="B58" s="101" t="s">
        <v>67</v>
      </c>
      <c r="C58" s="99">
        <v>184700</v>
      </c>
      <c r="D58" s="99">
        <v>184700</v>
      </c>
      <c r="E58" s="99">
        <v>184800</v>
      </c>
      <c r="F58" s="99">
        <v>184800</v>
      </c>
      <c r="G58" s="99">
        <v>184900</v>
      </c>
      <c r="H58" s="100">
        <v>184900</v>
      </c>
    </row>
    <row r="59" spans="2:8" x14ac:dyDescent="0.2">
      <c r="B59" s="101" t="s">
        <v>71</v>
      </c>
      <c r="C59" s="99">
        <v>9430</v>
      </c>
      <c r="D59" s="99">
        <v>9430</v>
      </c>
      <c r="E59" s="99">
        <v>9430</v>
      </c>
      <c r="F59" s="99">
        <v>9430</v>
      </c>
      <c r="G59" s="99">
        <v>9420</v>
      </c>
      <c r="H59" s="100">
        <v>9420</v>
      </c>
    </row>
    <row r="60" spans="2:8" x14ac:dyDescent="0.2">
      <c r="B60" s="101" t="s">
        <v>111</v>
      </c>
      <c r="C60" s="99">
        <v>1740</v>
      </c>
      <c r="D60" s="99">
        <v>1740</v>
      </c>
      <c r="E60" s="99">
        <v>1740</v>
      </c>
      <c r="F60" s="99">
        <v>1740</v>
      </c>
      <c r="G60" s="99">
        <v>1740</v>
      </c>
      <c r="H60" s="100">
        <v>1740</v>
      </c>
    </row>
    <row r="61" spans="2:8" x14ac:dyDescent="0.2">
      <c r="B61" s="78"/>
      <c r="C61" s="99"/>
      <c r="D61" s="99"/>
      <c r="E61" s="99"/>
      <c r="F61" s="99"/>
      <c r="G61" s="99"/>
      <c r="H61" s="100"/>
    </row>
    <row r="62" spans="2:8" ht="15" customHeight="1" x14ac:dyDescent="0.2">
      <c r="B62" s="101" t="s">
        <v>112</v>
      </c>
      <c r="C62" s="99">
        <v>25300</v>
      </c>
      <c r="D62" s="99">
        <v>25300</v>
      </c>
      <c r="E62" s="99">
        <v>25300</v>
      </c>
      <c r="F62" s="99">
        <v>25300</v>
      </c>
      <c r="G62" s="99">
        <v>25300</v>
      </c>
      <c r="H62" s="100">
        <v>25300</v>
      </c>
    </row>
    <row r="63" spans="2:8" ht="15" customHeight="1" x14ac:dyDescent="0.2">
      <c r="B63" s="101" t="s">
        <v>113</v>
      </c>
      <c r="C63" s="99">
        <v>11630</v>
      </c>
      <c r="D63" s="99">
        <v>11620</v>
      </c>
      <c r="E63" s="99">
        <v>11620</v>
      </c>
      <c r="F63" s="99">
        <v>11620</v>
      </c>
      <c r="G63" s="99">
        <v>11620</v>
      </c>
      <c r="H63" s="100">
        <v>11620</v>
      </c>
    </row>
    <row r="64" spans="2:8" ht="15" customHeight="1" x14ac:dyDescent="0.2">
      <c r="B64" s="101" t="s">
        <v>114</v>
      </c>
      <c r="C64" s="99">
        <v>290</v>
      </c>
      <c r="D64" s="99">
        <v>290</v>
      </c>
      <c r="E64" s="99">
        <v>290</v>
      </c>
      <c r="F64" s="99">
        <v>290</v>
      </c>
      <c r="G64" s="99">
        <v>290</v>
      </c>
      <c r="H64" s="100">
        <v>290</v>
      </c>
    </row>
    <row r="65" spans="2:8" ht="15" customHeight="1" x14ac:dyDescent="0.2">
      <c r="B65" s="78"/>
      <c r="C65" s="192"/>
      <c r="D65" s="99"/>
      <c r="E65" s="99"/>
      <c r="F65" s="99"/>
      <c r="G65" s="192"/>
      <c r="H65" s="193"/>
    </row>
    <row r="66" spans="2:8" ht="15" customHeight="1" x14ac:dyDescent="0.2">
      <c r="B66" s="78"/>
      <c r="C66" s="99"/>
      <c r="D66" s="99"/>
      <c r="E66" s="99"/>
      <c r="F66" s="99"/>
      <c r="G66" s="99"/>
      <c r="H66" s="100"/>
    </row>
    <row r="67" spans="2:8" ht="15" customHeight="1" x14ac:dyDescent="0.2">
      <c r="B67" s="78" t="s">
        <v>117</v>
      </c>
      <c r="C67" s="99"/>
      <c r="D67" s="99"/>
      <c r="E67" s="99"/>
      <c r="F67" s="99"/>
      <c r="G67" s="99"/>
      <c r="H67" s="100"/>
    </row>
    <row r="68" spans="2:8" ht="15" customHeight="1" x14ac:dyDescent="0.2">
      <c r="B68" s="101" t="s">
        <v>109</v>
      </c>
      <c r="C68" s="102">
        <v>91.6</v>
      </c>
      <c r="D68" s="102">
        <v>92.3</v>
      </c>
      <c r="E68" s="102">
        <v>91.2</v>
      </c>
      <c r="F68" s="102">
        <v>93.7</v>
      </c>
      <c r="G68" s="102">
        <v>95.1</v>
      </c>
      <c r="H68" s="103">
        <v>88.6</v>
      </c>
    </row>
    <row r="69" spans="2:8" ht="15" customHeight="1" x14ac:dyDescent="0.2">
      <c r="B69" s="101" t="s">
        <v>110</v>
      </c>
      <c r="C69" s="104">
        <v>0.34200000000000003</v>
      </c>
      <c r="D69" s="104">
        <v>0.35799999999999998</v>
      </c>
      <c r="E69" s="104">
        <v>0.36</v>
      </c>
      <c r="F69" s="104">
        <v>0.29199999999999998</v>
      </c>
      <c r="G69" s="104">
        <v>0.254</v>
      </c>
      <c r="H69" s="105">
        <v>0.502</v>
      </c>
    </row>
    <row r="70" spans="2:8" ht="15" customHeight="1" x14ac:dyDescent="0.2">
      <c r="B70" s="101" t="s">
        <v>67</v>
      </c>
      <c r="C70" s="99">
        <v>163600</v>
      </c>
      <c r="D70" s="99">
        <v>163100</v>
      </c>
      <c r="E70" s="99">
        <v>163500</v>
      </c>
      <c r="F70" s="99">
        <v>163900</v>
      </c>
      <c r="G70" s="99">
        <v>164200</v>
      </c>
      <c r="H70" s="100">
        <v>162300</v>
      </c>
    </row>
    <row r="71" spans="2:8" ht="15" customHeight="1" x14ac:dyDescent="0.2">
      <c r="B71" s="101" t="s">
        <v>71</v>
      </c>
      <c r="C71" s="99">
        <v>9720</v>
      </c>
      <c r="D71" s="99">
        <v>9720</v>
      </c>
      <c r="E71" s="99">
        <v>9710</v>
      </c>
      <c r="F71" s="99">
        <v>9710</v>
      </c>
      <c r="G71" s="99">
        <v>9710</v>
      </c>
      <c r="H71" s="100">
        <v>9710</v>
      </c>
    </row>
    <row r="72" spans="2:8" ht="15" customHeight="1" x14ac:dyDescent="0.2">
      <c r="B72" s="101" t="s">
        <v>111</v>
      </c>
      <c r="C72" s="99">
        <v>1590</v>
      </c>
      <c r="D72" s="99">
        <v>1590</v>
      </c>
      <c r="E72" s="99">
        <v>1590</v>
      </c>
      <c r="F72" s="99">
        <v>1590</v>
      </c>
      <c r="G72" s="99">
        <v>1590</v>
      </c>
      <c r="H72" s="100">
        <v>1580</v>
      </c>
    </row>
    <row r="73" spans="2:8" ht="15" customHeight="1" x14ac:dyDescent="0.2">
      <c r="B73" s="78"/>
      <c r="C73" s="99"/>
      <c r="D73" s="99"/>
      <c r="E73" s="99"/>
      <c r="F73" s="99"/>
      <c r="G73" s="99"/>
      <c r="H73" s="100"/>
    </row>
    <row r="74" spans="2:8" ht="15" customHeight="1" x14ac:dyDescent="0.2">
      <c r="B74" s="101" t="s">
        <v>112</v>
      </c>
      <c r="C74" s="99">
        <v>21100</v>
      </c>
      <c r="D74" s="99">
        <v>21100</v>
      </c>
      <c r="E74" s="99">
        <v>21200</v>
      </c>
      <c r="F74" s="99">
        <v>21000</v>
      </c>
      <c r="G74" s="99">
        <v>20900</v>
      </c>
      <c r="H74" s="100">
        <v>21300</v>
      </c>
    </row>
    <row r="75" spans="2:8" ht="15" customHeight="1" x14ac:dyDescent="0.2">
      <c r="B75" s="101" t="s">
        <v>113</v>
      </c>
      <c r="C75" s="99">
        <v>12290</v>
      </c>
      <c r="D75" s="99">
        <v>12300</v>
      </c>
      <c r="E75" s="99">
        <v>12270</v>
      </c>
      <c r="F75" s="99">
        <v>12320</v>
      </c>
      <c r="G75" s="99">
        <v>12350</v>
      </c>
      <c r="H75" s="100">
        <v>12210</v>
      </c>
    </row>
    <row r="76" spans="2:8" ht="15" customHeight="1" x14ac:dyDescent="0.2">
      <c r="B76" s="101" t="s">
        <v>114</v>
      </c>
      <c r="C76" s="99">
        <v>260</v>
      </c>
      <c r="D76" s="99">
        <v>260</v>
      </c>
      <c r="E76" s="99">
        <v>260</v>
      </c>
      <c r="F76" s="99">
        <v>260</v>
      </c>
      <c r="G76" s="99">
        <v>260</v>
      </c>
      <c r="H76" s="100">
        <v>260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118</v>
      </c>
      <c r="C79" s="99"/>
      <c r="D79" s="99"/>
      <c r="E79" s="99"/>
      <c r="F79" s="99"/>
      <c r="G79" s="99"/>
      <c r="H79" s="100"/>
    </row>
    <row r="80" spans="2:8" ht="15" customHeight="1" x14ac:dyDescent="0.2">
      <c r="B80" s="101" t="s">
        <v>109</v>
      </c>
      <c r="C80" s="102">
        <v>11.4</v>
      </c>
      <c r="D80" s="102">
        <v>10.9</v>
      </c>
      <c r="E80" s="102">
        <v>13.1</v>
      </c>
      <c r="F80" s="102">
        <v>14.5</v>
      </c>
      <c r="G80" s="102">
        <v>22.2</v>
      </c>
      <c r="H80" s="103">
        <v>17.5</v>
      </c>
    </row>
    <row r="81" spans="2:8" ht="15" customHeight="1" x14ac:dyDescent="0.2">
      <c r="B81" s="101" t="s">
        <v>110</v>
      </c>
      <c r="C81" s="104">
        <v>0.73299999999999998</v>
      </c>
      <c r="D81" s="104">
        <v>0.61699999999999999</v>
      </c>
      <c r="E81" s="104">
        <v>0.6984999999999999</v>
      </c>
      <c r="F81" s="104">
        <v>0.65900000000000003</v>
      </c>
      <c r="G81" s="104">
        <v>0.46700000000000003</v>
      </c>
      <c r="H81" s="105">
        <v>0.46899999999999997</v>
      </c>
    </row>
    <row r="82" spans="2:8" ht="15" customHeight="1" x14ac:dyDescent="0.2">
      <c r="B82" s="101" t="s">
        <v>67</v>
      </c>
      <c r="C82" s="99">
        <v>188200</v>
      </c>
      <c r="D82" s="99">
        <v>188200</v>
      </c>
      <c r="E82" s="99">
        <v>188200</v>
      </c>
      <c r="F82" s="99">
        <v>188200</v>
      </c>
      <c r="G82" s="99">
        <v>188200</v>
      </c>
      <c r="H82" s="100">
        <v>188200</v>
      </c>
    </row>
    <row r="83" spans="2:8" ht="15" customHeight="1" x14ac:dyDescent="0.2">
      <c r="B83" s="101" t="s">
        <v>71</v>
      </c>
      <c r="C83" s="99">
        <v>9380</v>
      </c>
      <c r="D83" s="99">
        <v>9380</v>
      </c>
      <c r="E83" s="99">
        <v>9380</v>
      </c>
      <c r="F83" s="99">
        <v>9390</v>
      </c>
      <c r="G83" s="99">
        <v>9400</v>
      </c>
      <c r="H83" s="100">
        <v>9390</v>
      </c>
    </row>
    <row r="84" spans="2:8" ht="15" customHeight="1" x14ac:dyDescent="0.2">
      <c r="B84" s="101" t="s">
        <v>111</v>
      </c>
      <c r="C84" s="99">
        <v>1770</v>
      </c>
      <c r="D84" s="99">
        <v>1770</v>
      </c>
      <c r="E84" s="99">
        <v>1770</v>
      </c>
      <c r="F84" s="99">
        <v>1770</v>
      </c>
      <c r="G84" s="99">
        <v>1770</v>
      </c>
      <c r="H84" s="100">
        <v>1770</v>
      </c>
    </row>
    <row r="85" spans="2:8" ht="15" customHeight="1" x14ac:dyDescent="0.2">
      <c r="B85" s="78"/>
      <c r="C85" s="99"/>
      <c r="D85" s="99"/>
      <c r="E85" s="99"/>
      <c r="F85" s="99"/>
      <c r="G85" s="99"/>
      <c r="H85" s="100"/>
    </row>
    <row r="86" spans="2:8" ht="15" customHeight="1" x14ac:dyDescent="0.2">
      <c r="B86" s="101" t="s">
        <v>112</v>
      </c>
      <c r="C86" s="99">
        <v>25700</v>
      </c>
      <c r="D86" s="99">
        <v>25700</v>
      </c>
      <c r="E86" s="99">
        <v>25700</v>
      </c>
      <c r="F86" s="99">
        <v>25700</v>
      </c>
      <c r="G86" s="99">
        <v>25700</v>
      </c>
      <c r="H86" s="100">
        <v>25700</v>
      </c>
    </row>
    <row r="87" spans="2:8" x14ac:dyDescent="0.2">
      <c r="B87" s="101" t="s">
        <v>113</v>
      </c>
      <c r="C87" s="99">
        <v>11500</v>
      </c>
      <c r="D87" s="99">
        <v>11500</v>
      </c>
      <c r="E87" s="99">
        <v>11500</v>
      </c>
      <c r="F87" s="99">
        <v>11500</v>
      </c>
      <c r="G87" s="99">
        <v>11520</v>
      </c>
      <c r="H87" s="100">
        <v>11500</v>
      </c>
    </row>
    <row r="88" spans="2:8" x14ac:dyDescent="0.2">
      <c r="B88" s="101" t="s">
        <v>114</v>
      </c>
      <c r="C88" s="99">
        <v>300</v>
      </c>
      <c r="D88" s="99">
        <v>300</v>
      </c>
      <c r="E88" s="99">
        <v>300</v>
      </c>
      <c r="F88" s="99">
        <v>300</v>
      </c>
      <c r="G88" s="99">
        <v>300</v>
      </c>
      <c r="H88" s="100">
        <v>300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119</v>
      </c>
      <c r="C91" s="99"/>
      <c r="D91" s="99"/>
      <c r="E91" s="99"/>
      <c r="F91" s="99"/>
      <c r="G91" s="99"/>
      <c r="H91" s="100"/>
    </row>
    <row r="92" spans="2:8" ht="15" customHeight="1" x14ac:dyDescent="0.2">
      <c r="B92" s="101" t="s">
        <v>109</v>
      </c>
      <c r="C92" s="102">
        <v>90</v>
      </c>
      <c r="D92" s="102">
        <v>90</v>
      </c>
      <c r="E92" s="102">
        <v>90</v>
      </c>
      <c r="F92" s="102">
        <v>90</v>
      </c>
      <c r="G92" s="102">
        <v>90</v>
      </c>
      <c r="H92" s="103">
        <v>90</v>
      </c>
    </row>
    <row r="93" spans="2:8" ht="15" customHeight="1" x14ac:dyDescent="0.2">
      <c r="B93" s="101" t="s">
        <v>110</v>
      </c>
      <c r="C93" s="104">
        <v>0.7</v>
      </c>
      <c r="D93" s="104">
        <v>0.7</v>
      </c>
      <c r="E93" s="104">
        <v>0.7</v>
      </c>
      <c r="F93" s="104">
        <v>0.7</v>
      </c>
      <c r="G93" s="104">
        <v>0.7</v>
      </c>
      <c r="H93" s="105">
        <v>0.7</v>
      </c>
    </row>
    <row r="94" spans="2:8" ht="15" customHeight="1" x14ac:dyDescent="0.2">
      <c r="B94" s="101" t="s">
        <v>67</v>
      </c>
      <c r="C94" s="99">
        <v>158600</v>
      </c>
      <c r="D94" s="99">
        <v>158600</v>
      </c>
      <c r="E94" s="99">
        <v>158700</v>
      </c>
      <c r="F94" s="99">
        <v>158700</v>
      </c>
      <c r="G94" s="99">
        <v>158700</v>
      </c>
      <c r="H94" s="100">
        <v>158700</v>
      </c>
    </row>
    <row r="95" spans="2:8" ht="15" customHeight="1" x14ac:dyDescent="0.2">
      <c r="B95" s="101" t="s">
        <v>71</v>
      </c>
      <c r="C95" s="99">
        <v>9730</v>
      </c>
      <c r="D95" s="99">
        <v>9730</v>
      </c>
      <c r="E95" s="99">
        <v>9730</v>
      </c>
      <c r="F95" s="99">
        <v>9730</v>
      </c>
      <c r="G95" s="99">
        <v>9720</v>
      </c>
      <c r="H95" s="100">
        <v>9720</v>
      </c>
    </row>
    <row r="96" spans="2:8" ht="15" customHeight="1" x14ac:dyDescent="0.2">
      <c r="B96" s="101" t="s">
        <v>111</v>
      </c>
      <c r="C96" s="99">
        <v>1540</v>
      </c>
      <c r="D96" s="99">
        <v>1540</v>
      </c>
      <c r="E96" s="99">
        <v>1540</v>
      </c>
      <c r="F96" s="99">
        <v>1540</v>
      </c>
      <c r="G96" s="99">
        <v>1540</v>
      </c>
      <c r="H96" s="100">
        <v>1540</v>
      </c>
    </row>
    <row r="97" spans="2:8" ht="15" customHeight="1" x14ac:dyDescent="0.2">
      <c r="B97" s="78"/>
      <c r="C97" s="99"/>
      <c r="D97" s="99"/>
      <c r="E97" s="99"/>
      <c r="F97" s="99"/>
      <c r="G97" s="99"/>
      <c r="H97" s="100"/>
    </row>
    <row r="98" spans="2:8" ht="15" customHeight="1" x14ac:dyDescent="0.2">
      <c r="B98" s="101" t="s">
        <v>112</v>
      </c>
      <c r="C98" s="99">
        <v>21200</v>
      </c>
      <c r="D98" s="99">
        <v>21200</v>
      </c>
      <c r="E98" s="99">
        <v>21200</v>
      </c>
      <c r="F98" s="99">
        <v>21200</v>
      </c>
      <c r="G98" s="99">
        <v>21200</v>
      </c>
      <c r="H98" s="100">
        <v>21200</v>
      </c>
    </row>
    <row r="99" spans="2:8" ht="15" customHeight="1" x14ac:dyDescent="0.2">
      <c r="B99" s="101" t="s">
        <v>113</v>
      </c>
      <c r="C99" s="99">
        <v>12240</v>
      </c>
      <c r="D99" s="99">
        <v>12240</v>
      </c>
      <c r="E99" s="99">
        <v>12230</v>
      </c>
      <c r="F99" s="99">
        <v>12230</v>
      </c>
      <c r="G99" s="99">
        <v>12230</v>
      </c>
      <c r="H99" s="100">
        <v>12230</v>
      </c>
    </row>
    <row r="100" spans="2:8" ht="15" customHeight="1" x14ac:dyDescent="0.2">
      <c r="B100" s="101" t="s">
        <v>114</v>
      </c>
      <c r="C100" s="99">
        <v>260</v>
      </c>
      <c r="D100" s="99">
        <v>260</v>
      </c>
      <c r="E100" s="99">
        <v>260</v>
      </c>
      <c r="F100" s="99">
        <v>260</v>
      </c>
      <c r="G100" s="99">
        <v>260</v>
      </c>
      <c r="H100" s="100">
        <v>260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120</v>
      </c>
      <c r="C103" s="99"/>
      <c r="D103" s="99"/>
      <c r="E103" s="99"/>
      <c r="F103" s="99"/>
      <c r="G103" s="99"/>
      <c r="H103" s="100"/>
    </row>
    <row r="104" spans="2:8" hidden="1" x14ac:dyDescent="0.2">
      <c r="B104" s="78"/>
      <c r="C104" s="99"/>
      <c r="D104" s="99"/>
      <c r="E104" s="99"/>
      <c r="F104" s="99"/>
      <c r="G104" s="99"/>
      <c r="H104" s="100"/>
    </row>
    <row r="105" spans="2:8" x14ac:dyDescent="0.2">
      <c r="B105" s="78" t="s">
        <v>206</v>
      </c>
      <c r="C105" s="99">
        <v>100</v>
      </c>
      <c r="D105" s="99">
        <v>100</v>
      </c>
      <c r="E105" s="99">
        <v>100</v>
      </c>
      <c r="F105" s="99">
        <v>100</v>
      </c>
      <c r="G105" s="99">
        <v>100</v>
      </c>
      <c r="H105" s="100">
        <v>100</v>
      </c>
    </row>
    <row r="106" spans="2:8" hidden="1" x14ac:dyDescent="0.2">
      <c r="B106" s="78"/>
      <c r="C106" s="99"/>
      <c r="D106" s="99"/>
      <c r="E106" s="99"/>
      <c r="F106" s="99"/>
      <c r="G106" s="99"/>
      <c r="H106" s="100"/>
    </row>
    <row r="107" spans="2:8" ht="15.75" hidden="1" x14ac:dyDescent="0.2">
      <c r="B107" s="107"/>
      <c r="C107" s="99"/>
      <c r="D107" s="99"/>
      <c r="E107" s="99"/>
      <c r="F107" s="99"/>
      <c r="G107" s="99"/>
      <c r="H107" s="100"/>
    </row>
    <row r="108" spans="2:8" hidden="1" x14ac:dyDescent="0.2">
      <c r="B108" s="78"/>
      <c r="C108" s="108"/>
      <c r="D108" s="108"/>
      <c r="E108" s="108"/>
      <c r="F108" s="108"/>
      <c r="G108" s="108"/>
      <c r="H108" s="109"/>
    </row>
    <row r="109" spans="2:8" hidden="1" x14ac:dyDescent="0.2">
      <c r="B109" s="78"/>
      <c r="C109" s="108"/>
      <c r="D109" s="108"/>
      <c r="E109" s="108"/>
      <c r="F109" s="108"/>
      <c r="G109" s="99"/>
      <c r="H109" s="109"/>
    </row>
    <row r="110" spans="2:8" ht="15" hidden="1" customHeight="1" x14ac:dyDescent="0.2">
      <c r="B110" s="78"/>
      <c r="C110" s="99"/>
      <c r="D110" s="99"/>
      <c r="E110" s="99"/>
      <c r="F110" s="99"/>
      <c r="G110" s="99"/>
      <c r="H110" s="100"/>
    </row>
    <row r="111" spans="2:8" ht="15" hidden="1" customHeight="1" x14ac:dyDescent="0.2">
      <c r="B111" s="78"/>
      <c r="C111" s="99"/>
      <c r="D111" s="99"/>
      <c r="E111" s="99"/>
      <c r="F111" s="99"/>
      <c r="G111" s="99"/>
      <c r="H111" s="100"/>
    </row>
    <row r="112" spans="2:8" ht="15" hidden="1" customHeight="1" x14ac:dyDescent="0.2">
      <c r="B112" s="78"/>
      <c r="C112" s="99"/>
      <c r="D112" s="99"/>
      <c r="E112" s="99"/>
      <c r="F112" s="99"/>
      <c r="G112" s="99"/>
      <c r="H112" s="100"/>
    </row>
    <row r="113" spans="2:8" ht="15" hidden="1" customHeight="1" x14ac:dyDescent="0.2">
      <c r="B113" s="78"/>
      <c r="C113" s="99"/>
      <c r="D113" s="99"/>
      <c r="E113" s="99"/>
      <c r="F113" s="99"/>
      <c r="G113" s="99"/>
      <c r="H113" s="100"/>
    </row>
    <row r="114" spans="2:8" ht="15" hidden="1" customHeight="1" x14ac:dyDescent="0.2">
      <c r="B114" s="78"/>
      <c r="C114" s="99"/>
      <c r="D114" s="99"/>
      <c r="E114" s="99"/>
      <c r="F114" s="99"/>
      <c r="G114" s="99"/>
      <c r="H114" s="100"/>
    </row>
    <row r="115" spans="2:8" ht="15" hidden="1" customHeight="1" x14ac:dyDescent="0.2">
      <c r="B115" s="78"/>
      <c r="C115" s="99"/>
      <c r="D115" s="99"/>
      <c r="E115" s="99"/>
      <c r="F115" s="99"/>
      <c r="G115" s="99"/>
      <c r="H115" s="100"/>
    </row>
    <row r="116" spans="2:8" hidden="1" x14ac:dyDescent="0.2">
      <c r="B116" s="78"/>
      <c r="C116" s="99"/>
      <c r="D116" s="99"/>
      <c r="E116" s="99"/>
      <c r="F116" s="99"/>
      <c r="G116" s="99"/>
      <c r="H116" s="100"/>
    </row>
    <row r="117" spans="2:8" ht="15.75" hidden="1" x14ac:dyDescent="0.2">
      <c r="B117" s="107"/>
      <c r="C117" s="99"/>
      <c r="D117" s="99"/>
      <c r="E117" s="99"/>
      <c r="F117" s="99"/>
      <c r="G117" s="99"/>
      <c r="H117" s="100"/>
    </row>
    <row r="118" spans="2:8" hidden="1"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123</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124</v>
      </c>
      <c r="C122" s="120">
        <v>224.62</v>
      </c>
      <c r="D122" s="120">
        <v>226.97</v>
      </c>
      <c r="E122" s="120">
        <v>230.83</v>
      </c>
      <c r="F122" s="120">
        <v>239.16</v>
      </c>
      <c r="G122" s="120">
        <v>259.57</v>
      </c>
      <c r="H122" s="121">
        <v>256.57</v>
      </c>
    </row>
    <row r="123" spans="2:8" s="118" customFormat="1" ht="15.75" x14ac:dyDescent="0.2">
      <c r="B123" s="122" t="s">
        <v>125</v>
      </c>
      <c r="C123" s="123">
        <v>45.853195436296559</v>
      </c>
      <c r="D123" s="123">
        <v>46.332916784686269</v>
      </c>
      <c r="E123" s="123">
        <v>47.120884616509372</v>
      </c>
      <c r="F123" s="123">
        <v>48.821343693992901</v>
      </c>
      <c r="G123" s="123">
        <v>52.987774638943542</v>
      </c>
      <c r="H123" s="124">
        <v>52.37536440695667</v>
      </c>
    </row>
    <row r="124" spans="2:8" s="118" customFormat="1" ht="15.75" x14ac:dyDescent="0.2">
      <c r="B124" s="122" t="s">
        <v>126</v>
      </c>
      <c r="C124" s="123">
        <v>59.299217913130676</v>
      </c>
      <c r="D124" s="123">
        <v>59.919613078725263</v>
      </c>
      <c r="E124" s="123">
        <v>60.938645137957231</v>
      </c>
      <c r="F124" s="123">
        <v>63.137748001532948</v>
      </c>
      <c r="G124" s="123">
        <v>68.525946014207676</v>
      </c>
      <c r="H124" s="124">
        <v>67.73395218578905</v>
      </c>
    </row>
    <row r="125" spans="2:8" s="118" customFormat="1" ht="15.75" x14ac:dyDescent="0.2">
      <c r="B125" s="122" t="s">
        <v>127</v>
      </c>
      <c r="C125" s="123">
        <v>68.858392875792063</v>
      </c>
      <c r="D125" s="123">
        <v>69.578797217605398</v>
      </c>
      <c r="E125" s="123">
        <v>70.762099668413683</v>
      </c>
      <c r="F125" s="123">
        <v>73.315703143862649</v>
      </c>
      <c r="G125" s="123">
        <v>79.572491491271236</v>
      </c>
      <c r="H125" s="124">
        <v>78.652826374062727</v>
      </c>
    </row>
    <row r="126" spans="2:8" s="118" customFormat="1" ht="15.75" x14ac:dyDescent="0.2">
      <c r="B126" s="122" t="s">
        <v>128</v>
      </c>
      <c r="C126" s="123">
        <v>50.609193774780728</v>
      </c>
      <c r="D126" s="123">
        <v>51.13867291898309</v>
      </c>
      <c r="E126" s="123">
        <v>52.008370577119742</v>
      </c>
      <c r="F126" s="123">
        <v>53.885205160611513</v>
      </c>
      <c r="G126" s="123">
        <v>58.483787855577567</v>
      </c>
      <c r="H126" s="124">
        <v>57.807857033191567</v>
      </c>
    </row>
    <row r="127" spans="2:8" x14ac:dyDescent="0.2">
      <c r="B127" s="78"/>
      <c r="C127" s="81"/>
      <c r="D127" s="194"/>
      <c r="E127" s="194"/>
      <c r="F127" s="195"/>
      <c r="G127" s="81"/>
      <c r="H127" s="82"/>
    </row>
    <row r="128" spans="2:8" s="118" customFormat="1" ht="15.75" x14ac:dyDescent="0.2">
      <c r="B128" s="107" t="s">
        <v>129</v>
      </c>
      <c r="C128" s="120">
        <v>74.400000000000006</v>
      </c>
      <c r="D128" s="120">
        <v>74.53</v>
      </c>
      <c r="E128" s="120">
        <v>74.740000000000009</v>
      </c>
      <c r="F128" s="120">
        <v>75.3</v>
      </c>
      <c r="G128" s="120">
        <v>116.35000000000001</v>
      </c>
      <c r="H128" s="121">
        <v>64.09</v>
      </c>
    </row>
    <row r="129" spans="2:8" x14ac:dyDescent="0.2">
      <c r="B129" s="125" t="s">
        <v>130</v>
      </c>
      <c r="C129" s="126">
        <v>0.37</v>
      </c>
      <c r="D129" s="126">
        <v>0.37</v>
      </c>
      <c r="E129" s="126">
        <v>0.37</v>
      </c>
      <c r="F129" s="126">
        <v>0.37</v>
      </c>
      <c r="G129" s="126">
        <v>0.48</v>
      </c>
      <c r="H129" s="127">
        <v>0.41</v>
      </c>
    </row>
    <row r="130" spans="2:8" x14ac:dyDescent="0.2">
      <c r="B130" s="125" t="s">
        <v>131</v>
      </c>
      <c r="C130" s="126">
        <v>0.44</v>
      </c>
      <c r="D130" s="126">
        <v>0.44</v>
      </c>
      <c r="E130" s="126">
        <v>0.44</v>
      </c>
      <c r="F130" s="126">
        <v>0.44</v>
      </c>
      <c r="G130" s="126">
        <v>0.56999999999999995</v>
      </c>
      <c r="H130" s="127">
        <v>0.48</v>
      </c>
    </row>
    <row r="131" spans="2:8" x14ac:dyDescent="0.2">
      <c r="B131" s="125" t="s">
        <v>132</v>
      </c>
      <c r="C131" s="126">
        <v>1.02</v>
      </c>
      <c r="D131" s="126">
        <v>1.02</v>
      </c>
      <c r="E131" s="126">
        <v>1.02</v>
      </c>
      <c r="F131" s="126">
        <v>1.02</v>
      </c>
      <c r="G131" s="126">
        <v>1.33</v>
      </c>
      <c r="H131" s="127">
        <v>1.1200000000000001</v>
      </c>
    </row>
    <row r="132" spans="2:8" x14ac:dyDescent="0.2">
      <c r="B132" s="125" t="s">
        <v>133</v>
      </c>
      <c r="C132" s="126">
        <v>1.1299999999999999</v>
      </c>
      <c r="D132" s="126">
        <v>1.1299999999999999</v>
      </c>
      <c r="E132" s="126">
        <v>1.1299999999999999</v>
      </c>
      <c r="F132" s="126">
        <v>1.1299999999999999</v>
      </c>
      <c r="G132" s="126">
        <v>1.47</v>
      </c>
      <c r="H132" s="127">
        <v>1.24</v>
      </c>
    </row>
    <row r="133" spans="2:8" x14ac:dyDescent="0.2">
      <c r="B133" s="125" t="s">
        <v>134</v>
      </c>
      <c r="C133" s="126">
        <v>1</v>
      </c>
      <c r="D133" s="126">
        <v>1</v>
      </c>
      <c r="E133" s="126">
        <v>1</v>
      </c>
      <c r="F133" s="126">
        <v>1</v>
      </c>
      <c r="G133" s="126">
        <v>1.3</v>
      </c>
      <c r="H133" s="127">
        <v>1.1000000000000001</v>
      </c>
    </row>
    <row r="134" spans="2:8" x14ac:dyDescent="0.2">
      <c r="B134" s="125" t="s">
        <v>135</v>
      </c>
      <c r="C134" s="126">
        <v>0.27</v>
      </c>
      <c r="D134" s="126">
        <v>0.27</v>
      </c>
      <c r="E134" s="126">
        <v>0.27</v>
      </c>
      <c r="F134" s="126">
        <v>0.27</v>
      </c>
      <c r="G134" s="126">
        <v>0.35</v>
      </c>
      <c r="H134" s="127">
        <v>0.3</v>
      </c>
    </row>
    <row r="135" spans="2:8" x14ac:dyDescent="0.2">
      <c r="B135" s="125" t="s">
        <v>136</v>
      </c>
      <c r="C135" s="126">
        <v>0</v>
      </c>
      <c r="D135" s="126">
        <v>0</v>
      </c>
      <c r="E135" s="126">
        <v>0</v>
      </c>
      <c r="F135" s="126">
        <v>0</v>
      </c>
      <c r="G135" s="126">
        <v>0</v>
      </c>
      <c r="H135" s="127">
        <v>0</v>
      </c>
    </row>
    <row r="136" spans="2:8" x14ac:dyDescent="0.2">
      <c r="B136" s="125" t="s">
        <v>137</v>
      </c>
      <c r="C136" s="126">
        <v>0.51</v>
      </c>
      <c r="D136" s="126">
        <v>0.51</v>
      </c>
      <c r="E136" s="126">
        <v>0.51</v>
      </c>
      <c r="F136" s="126">
        <v>0.51</v>
      </c>
      <c r="G136" s="126">
        <v>0.66</v>
      </c>
      <c r="H136" s="127">
        <v>0.56000000000000005</v>
      </c>
    </row>
    <row r="137" spans="2:8" x14ac:dyDescent="0.2">
      <c r="B137" s="125" t="s">
        <v>138</v>
      </c>
      <c r="C137" s="126">
        <v>1</v>
      </c>
      <c r="D137" s="126">
        <v>1</v>
      </c>
      <c r="E137" s="126">
        <v>1</v>
      </c>
      <c r="F137" s="126">
        <v>1</v>
      </c>
      <c r="G137" s="126">
        <v>1.3</v>
      </c>
      <c r="H137" s="127">
        <v>1.1000000000000001</v>
      </c>
    </row>
    <row r="138" spans="2:8" x14ac:dyDescent="0.2">
      <c r="B138" s="125" t="s">
        <v>139</v>
      </c>
      <c r="C138" s="126">
        <v>17.079999999999998</v>
      </c>
      <c r="D138" s="126">
        <v>17.079999999999998</v>
      </c>
      <c r="E138" s="126">
        <v>17.079999999999998</v>
      </c>
      <c r="F138" s="126">
        <v>17.079999999999998</v>
      </c>
      <c r="G138" s="126">
        <v>53.07</v>
      </c>
      <c r="H138" s="127">
        <v>9.32</v>
      </c>
    </row>
    <row r="139" spans="2:8" x14ac:dyDescent="0.2">
      <c r="B139" s="125" t="s">
        <v>140</v>
      </c>
      <c r="C139" s="126">
        <v>11</v>
      </c>
      <c r="D139" s="126">
        <v>11</v>
      </c>
      <c r="E139" s="126">
        <v>11</v>
      </c>
      <c r="F139" s="126">
        <v>11</v>
      </c>
      <c r="G139" s="126">
        <v>11</v>
      </c>
      <c r="H139" s="127">
        <v>6.5</v>
      </c>
    </row>
    <row r="140" spans="2:8" x14ac:dyDescent="0.2">
      <c r="B140" s="125" t="s">
        <v>141</v>
      </c>
      <c r="C140" s="126">
        <v>14.3</v>
      </c>
      <c r="D140" s="126">
        <v>14.3</v>
      </c>
      <c r="E140" s="126">
        <v>14.3</v>
      </c>
      <c r="F140" s="126">
        <v>14.3</v>
      </c>
      <c r="G140" s="126">
        <v>14.3</v>
      </c>
      <c r="H140" s="127">
        <v>14.3</v>
      </c>
    </row>
    <row r="141" spans="2:8" x14ac:dyDescent="0.2">
      <c r="B141" s="125" t="s">
        <v>142</v>
      </c>
      <c r="C141" s="126"/>
      <c r="D141" s="126"/>
      <c r="E141" s="126"/>
      <c r="F141" s="126"/>
      <c r="G141" s="126"/>
      <c r="H141" s="127"/>
    </row>
    <row r="142" spans="2:8" x14ac:dyDescent="0.2">
      <c r="B142" s="125" t="s">
        <v>143</v>
      </c>
      <c r="C142" s="126">
        <v>0.4</v>
      </c>
      <c r="D142" s="126">
        <v>0.4</v>
      </c>
      <c r="E142" s="126">
        <v>0.4</v>
      </c>
      <c r="F142" s="126">
        <v>2.5</v>
      </c>
      <c r="G142" s="126">
        <v>2.5</v>
      </c>
      <c r="H142" s="127">
        <v>2.5</v>
      </c>
    </row>
    <row r="143" spans="2:8" x14ac:dyDescent="0.2">
      <c r="B143" s="125" t="s">
        <v>144</v>
      </c>
      <c r="C143" s="126">
        <v>0.5</v>
      </c>
      <c r="D143" s="126">
        <v>0.5</v>
      </c>
      <c r="E143" s="126">
        <v>0.5</v>
      </c>
      <c r="F143" s="126">
        <v>0.5</v>
      </c>
      <c r="G143" s="126">
        <v>0.65</v>
      </c>
      <c r="H143" s="127">
        <v>0.55000000000000004</v>
      </c>
    </row>
    <row r="144" spans="2:8" x14ac:dyDescent="0.2">
      <c r="B144" s="125" t="s">
        <v>145</v>
      </c>
      <c r="C144" s="126">
        <v>2.64</v>
      </c>
      <c r="D144" s="126">
        <v>2.64</v>
      </c>
      <c r="E144" s="126">
        <v>2.64</v>
      </c>
      <c r="F144" s="126">
        <v>2.64</v>
      </c>
      <c r="G144" s="126">
        <v>2.64</v>
      </c>
      <c r="H144" s="127">
        <v>2.64</v>
      </c>
    </row>
    <row r="145" spans="2:158" x14ac:dyDescent="0.2">
      <c r="B145" s="125" t="s">
        <v>146</v>
      </c>
      <c r="C145" s="126">
        <v>4.18</v>
      </c>
      <c r="D145" s="126">
        <v>4.18</v>
      </c>
      <c r="E145" s="126">
        <v>4.18</v>
      </c>
      <c r="F145" s="126">
        <v>4.18</v>
      </c>
      <c r="G145" s="126">
        <v>4.18</v>
      </c>
      <c r="H145" s="127">
        <v>4.18</v>
      </c>
    </row>
    <row r="146" spans="2:158" x14ac:dyDescent="0.2">
      <c r="B146" s="125" t="s">
        <v>147</v>
      </c>
      <c r="C146" s="126">
        <v>0.57999999999999996</v>
      </c>
      <c r="D146" s="126">
        <v>0.57999999999999996</v>
      </c>
      <c r="E146" s="126">
        <v>0.57999999999999996</v>
      </c>
      <c r="F146" s="126">
        <v>0.57999999999999996</v>
      </c>
      <c r="G146" s="126">
        <v>0.75</v>
      </c>
      <c r="H146" s="127">
        <v>0.64</v>
      </c>
    </row>
    <row r="147" spans="2:158" x14ac:dyDescent="0.2">
      <c r="B147" s="125" t="s">
        <v>148</v>
      </c>
      <c r="C147" s="126">
        <v>3.11</v>
      </c>
      <c r="D147" s="126">
        <v>3.11</v>
      </c>
      <c r="E147" s="126">
        <v>3.11</v>
      </c>
      <c r="F147" s="126">
        <v>3.11</v>
      </c>
      <c r="G147" s="126">
        <v>3.11</v>
      </c>
      <c r="H147" s="127">
        <v>3.11</v>
      </c>
    </row>
    <row r="148" spans="2:158" x14ac:dyDescent="0.2">
      <c r="B148" s="125"/>
      <c r="C148" s="126"/>
      <c r="D148" s="126"/>
      <c r="E148" s="126"/>
      <c r="F148" s="126"/>
      <c r="G148" s="126"/>
      <c r="H148" s="127"/>
    </row>
    <row r="149" spans="2:158" x14ac:dyDescent="0.2">
      <c r="B149" s="125" t="s">
        <v>149</v>
      </c>
      <c r="C149" s="126">
        <v>1.01</v>
      </c>
      <c r="D149" s="126">
        <v>1.02</v>
      </c>
      <c r="E149" s="126">
        <v>1.04</v>
      </c>
      <c r="F149" s="126">
        <v>1.08</v>
      </c>
      <c r="G149" s="126">
        <v>1.17</v>
      </c>
      <c r="H149" s="127">
        <v>1.1499999999999999</v>
      </c>
    </row>
    <row r="150" spans="2:158" x14ac:dyDescent="0.2">
      <c r="B150" s="125" t="s">
        <v>150</v>
      </c>
      <c r="C150" s="126">
        <v>14.26</v>
      </c>
      <c r="D150" s="126">
        <v>14.38</v>
      </c>
      <c r="E150" s="126">
        <v>14.57</v>
      </c>
      <c r="F150" s="126">
        <v>15.09</v>
      </c>
      <c r="G150" s="126">
        <v>18.02</v>
      </c>
      <c r="H150" s="127">
        <v>15.39</v>
      </c>
    </row>
    <row r="151" spans="2:158" x14ac:dyDescent="0.2">
      <c r="B151" s="125"/>
      <c r="C151" s="128"/>
      <c r="D151" s="128"/>
      <c r="E151" s="128"/>
      <c r="F151" s="128"/>
      <c r="G151" s="128"/>
      <c r="H151" s="129"/>
    </row>
    <row r="152" spans="2:158" ht="15.75" x14ac:dyDescent="0.2">
      <c r="B152" s="107" t="s">
        <v>351</v>
      </c>
      <c r="C152" s="120">
        <v>20.931400000000004</v>
      </c>
      <c r="D152" s="120">
        <v>21.105000000000004</v>
      </c>
      <c r="E152" s="120">
        <v>21.389900000000004</v>
      </c>
      <c r="F152" s="120">
        <v>22.012200000000004</v>
      </c>
      <c r="G152" s="120">
        <v>26.314400000000003</v>
      </c>
      <c r="H152" s="121">
        <v>22.446200000000001</v>
      </c>
    </row>
    <row r="153" spans="2:158" x14ac:dyDescent="0.2">
      <c r="B153" s="125" t="s">
        <v>151</v>
      </c>
      <c r="C153" s="128">
        <v>15.723400000000002</v>
      </c>
      <c r="D153" s="128">
        <v>15.887900000000002</v>
      </c>
      <c r="E153" s="128">
        <v>16.158100000000001</v>
      </c>
      <c r="F153" s="128">
        <v>16.741200000000003</v>
      </c>
      <c r="G153" s="128">
        <v>18.169900000000002</v>
      </c>
      <c r="H153" s="129">
        <v>17.959900000000001</v>
      </c>
    </row>
    <row r="154" spans="2:158" x14ac:dyDescent="0.2">
      <c r="B154" s="125" t="s">
        <v>152</v>
      </c>
      <c r="C154" s="128">
        <v>5.2080000000000011</v>
      </c>
      <c r="D154" s="128">
        <v>5.2171000000000003</v>
      </c>
      <c r="E154" s="128">
        <v>5.2318000000000016</v>
      </c>
      <c r="F154" s="128">
        <v>5.2709999999999999</v>
      </c>
      <c r="G154" s="128">
        <v>8.1445000000000007</v>
      </c>
      <c r="H154" s="129">
        <v>4.4863000000000008</v>
      </c>
    </row>
    <row r="155" spans="2:158" hidden="1" x14ac:dyDescent="0.2">
      <c r="B155" s="125"/>
      <c r="C155" s="128"/>
      <c r="D155" s="128"/>
      <c r="E155" s="128"/>
      <c r="F155" s="128"/>
      <c r="G155" s="128"/>
      <c r="H155" s="129"/>
    </row>
    <row r="156" spans="2:158" x14ac:dyDescent="0.2">
      <c r="B156" s="125"/>
      <c r="C156" s="128"/>
      <c r="D156" s="128"/>
      <c r="E156" s="128"/>
      <c r="F156" s="128"/>
      <c r="G156" s="128"/>
      <c r="H156" s="129"/>
    </row>
    <row r="157" spans="2:158" s="130" customFormat="1" ht="15.75" x14ac:dyDescent="0.2">
      <c r="B157" s="131" t="s">
        <v>153</v>
      </c>
      <c r="C157" s="132">
        <v>319.95139999999998</v>
      </c>
      <c r="D157" s="132">
        <v>322.60500000000002</v>
      </c>
      <c r="E157" s="132">
        <v>326.95990000000006</v>
      </c>
      <c r="F157" s="132">
        <v>336.47219999999999</v>
      </c>
      <c r="G157" s="132">
        <v>402.23439999999999</v>
      </c>
      <c r="H157" s="133">
        <v>343.10619999999994</v>
      </c>
      <c r="I157" s="276"/>
      <c r="J157" s="276"/>
      <c r="L157" s="277"/>
      <c r="M157" s="276"/>
      <c r="N157" s="276"/>
      <c r="O157" s="276"/>
      <c r="P157" s="276"/>
      <c r="Q157" s="276"/>
      <c r="R157" s="276"/>
      <c r="S157" s="276"/>
      <c r="U157" s="277"/>
      <c r="V157" s="276"/>
      <c r="W157" s="276"/>
      <c r="X157" s="276"/>
      <c r="Y157" s="276"/>
      <c r="Z157" s="276"/>
      <c r="AA157" s="276"/>
      <c r="AB157" s="276"/>
      <c r="AD157" s="277"/>
      <c r="AE157" s="276"/>
      <c r="AF157" s="276"/>
      <c r="AG157" s="276"/>
      <c r="AH157" s="276"/>
      <c r="AI157" s="276"/>
      <c r="AJ157" s="276"/>
      <c r="AK157" s="276"/>
      <c r="AM157" s="277"/>
      <c r="AN157" s="276"/>
      <c r="AO157" s="276"/>
      <c r="AP157" s="276"/>
      <c r="AQ157" s="276"/>
      <c r="AR157" s="276"/>
      <c r="AS157" s="276"/>
      <c r="AT157" s="276"/>
      <c r="AV157" s="277"/>
      <c r="AW157" s="276"/>
      <c r="AX157" s="276"/>
      <c r="AY157" s="276"/>
      <c r="AZ157" s="276"/>
      <c r="BA157" s="276"/>
      <c r="BB157" s="276"/>
      <c r="BC157" s="276"/>
      <c r="BE157" s="277"/>
      <c r="BF157" s="276"/>
      <c r="BG157" s="276"/>
      <c r="BH157" s="276"/>
      <c r="BI157" s="276"/>
      <c r="BJ157" s="276"/>
      <c r="BK157" s="276"/>
      <c r="BL157" s="276"/>
      <c r="BN157" s="277"/>
      <c r="BO157" s="276"/>
      <c r="BP157" s="276"/>
      <c r="BQ157" s="276"/>
      <c r="BR157" s="276"/>
      <c r="BS157" s="276"/>
      <c r="BT157" s="276"/>
      <c r="BU157" s="276"/>
      <c r="BW157" s="277"/>
      <c r="BX157" s="276"/>
      <c r="BY157" s="276"/>
      <c r="BZ157" s="276"/>
      <c r="CA157" s="276"/>
      <c r="CB157" s="276"/>
      <c r="CC157" s="276"/>
      <c r="CD157" s="276"/>
      <c r="CF157" s="277"/>
      <c r="CG157" s="276"/>
      <c r="CH157" s="276"/>
      <c r="CI157" s="276"/>
      <c r="CJ157" s="276"/>
      <c r="CK157" s="276"/>
      <c r="CL157" s="276"/>
      <c r="CM157" s="276"/>
      <c r="CO157" s="277"/>
      <c r="CP157" s="276"/>
      <c r="CQ157" s="276"/>
      <c r="CR157" s="276"/>
      <c r="CS157" s="276"/>
      <c r="CT157" s="276"/>
      <c r="CU157" s="276"/>
      <c r="CV157" s="276"/>
      <c r="CX157" s="277"/>
      <c r="CY157" s="276"/>
      <c r="CZ157" s="276"/>
      <c r="DA157" s="276"/>
      <c r="DB157" s="276"/>
      <c r="DC157" s="276"/>
      <c r="DD157" s="276"/>
      <c r="DE157" s="276"/>
      <c r="DG157" s="277"/>
      <c r="DH157" s="276"/>
      <c r="DI157" s="276"/>
      <c r="DJ157" s="276"/>
      <c r="DK157" s="276"/>
      <c r="DL157" s="276"/>
      <c r="DM157" s="276"/>
      <c r="DN157" s="276"/>
      <c r="DP157" s="277"/>
      <c r="DQ157" s="276"/>
      <c r="DR157" s="276"/>
      <c r="DS157" s="276"/>
      <c r="DT157" s="276"/>
      <c r="DU157" s="276"/>
      <c r="DV157" s="276"/>
      <c r="DW157" s="276"/>
      <c r="DY157" s="277"/>
      <c r="DZ157" s="276"/>
      <c r="EA157" s="276"/>
      <c r="EB157" s="276"/>
      <c r="EC157" s="276"/>
      <c r="ED157" s="276"/>
      <c r="EE157" s="276"/>
      <c r="EF157" s="276"/>
      <c r="EH157" s="277"/>
      <c r="EI157" s="276"/>
      <c r="EJ157" s="276"/>
      <c r="EK157" s="276"/>
      <c r="EL157" s="276"/>
      <c r="EM157" s="276"/>
      <c r="EN157" s="276"/>
      <c r="EO157" s="276"/>
      <c r="EQ157" s="277"/>
      <c r="ER157" s="276"/>
      <c r="ES157" s="276"/>
      <c r="ET157" s="276"/>
      <c r="EU157" s="276"/>
      <c r="EV157" s="276"/>
      <c r="EW157" s="276"/>
      <c r="EX157" s="276"/>
      <c r="EZ157" s="277"/>
      <c r="FA157" s="276"/>
      <c r="FB157" s="276"/>
    </row>
    <row r="158" spans="2:158" x14ac:dyDescent="0.2">
      <c r="B158" s="85"/>
      <c r="C158" s="134"/>
      <c r="D158" s="196"/>
      <c r="E158" s="196"/>
      <c r="F158" s="126"/>
      <c r="G158" s="196"/>
      <c r="H158" s="197"/>
    </row>
    <row r="159" spans="2:158" ht="15.75" x14ac:dyDescent="0.2">
      <c r="B159" s="131" t="s">
        <v>154</v>
      </c>
      <c r="C159" s="132">
        <v>1420</v>
      </c>
      <c r="D159" s="132">
        <v>1430</v>
      </c>
      <c r="E159" s="132">
        <v>1450</v>
      </c>
      <c r="F159" s="132">
        <v>1510</v>
      </c>
      <c r="G159" s="132">
        <v>1640</v>
      </c>
      <c r="H159" s="133">
        <v>1620</v>
      </c>
    </row>
    <row r="160" spans="2:158" s="130" customFormat="1" ht="15.75" x14ac:dyDescent="0.2">
      <c r="B160" s="131" t="s">
        <v>155</v>
      </c>
      <c r="C160" s="132">
        <v>2020</v>
      </c>
      <c r="D160" s="132">
        <v>2030</v>
      </c>
      <c r="E160" s="132">
        <v>2060</v>
      </c>
      <c r="F160" s="132">
        <v>2120</v>
      </c>
      <c r="G160" s="132">
        <v>2530</v>
      </c>
      <c r="H160" s="133">
        <v>2160</v>
      </c>
      <c r="I160" s="276"/>
      <c r="J160" s="276"/>
      <c r="L160" s="277"/>
      <c r="M160" s="276"/>
      <c r="N160" s="276"/>
      <c r="O160" s="276"/>
      <c r="P160" s="276"/>
      <c r="Q160" s="276"/>
      <c r="R160" s="276"/>
      <c r="S160" s="276"/>
      <c r="U160" s="277"/>
      <c r="V160" s="276"/>
      <c r="W160" s="276"/>
      <c r="X160" s="276"/>
      <c r="Y160" s="276"/>
      <c r="Z160" s="276"/>
      <c r="AA160" s="276"/>
      <c r="AB160" s="276"/>
      <c r="AD160" s="277"/>
      <c r="AE160" s="276"/>
      <c r="AF160" s="276"/>
      <c r="AG160" s="276"/>
      <c r="AH160" s="276"/>
      <c r="AI160" s="276"/>
      <c r="AJ160" s="276"/>
      <c r="AK160" s="276"/>
      <c r="AM160" s="277"/>
      <c r="AN160" s="276"/>
      <c r="AO160" s="276"/>
      <c r="AP160" s="276"/>
      <c r="AQ160" s="276"/>
      <c r="AR160" s="276"/>
      <c r="AS160" s="276"/>
      <c r="AT160" s="276"/>
      <c r="AV160" s="277"/>
      <c r="AW160" s="276"/>
      <c r="AX160" s="276"/>
      <c r="AY160" s="276"/>
      <c r="AZ160" s="276"/>
      <c r="BA160" s="276"/>
      <c r="BB160" s="276"/>
      <c r="BC160" s="276"/>
      <c r="BE160" s="277"/>
      <c r="BF160" s="276"/>
      <c r="BG160" s="276"/>
      <c r="BH160" s="276"/>
      <c r="BI160" s="276"/>
      <c r="BJ160" s="276"/>
      <c r="BK160" s="276"/>
      <c r="BL160" s="276"/>
      <c r="BN160" s="277"/>
      <c r="BO160" s="276"/>
      <c r="BP160" s="276"/>
      <c r="BQ160" s="276"/>
      <c r="BR160" s="276"/>
      <c r="BS160" s="276"/>
      <c r="BT160" s="276"/>
      <c r="BU160" s="276"/>
      <c r="BW160" s="277"/>
      <c r="BX160" s="276"/>
      <c r="BY160" s="276"/>
      <c r="BZ160" s="276"/>
      <c r="CA160" s="276"/>
      <c r="CB160" s="276"/>
      <c r="CC160" s="276"/>
      <c r="CD160" s="276"/>
      <c r="CF160" s="277"/>
      <c r="CG160" s="276"/>
      <c r="CH160" s="276"/>
      <c r="CI160" s="276"/>
      <c r="CJ160" s="276"/>
      <c r="CK160" s="276"/>
      <c r="CL160" s="276"/>
      <c r="CM160" s="276"/>
      <c r="CO160" s="277"/>
      <c r="CP160" s="276"/>
      <c r="CQ160" s="276"/>
      <c r="CR160" s="276"/>
      <c r="CS160" s="276"/>
      <c r="CT160" s="276"/>
      <c r="CU160" s="276"/>
      <c r="CV160" s="276"/>
      <c r="CX160" s="277"/>
      <c r="CY160" s="276"/>
      <c r="CZ160" s="276"/>
      <c r="DA160" s="276"/>
      <c r="DB160" s="276"/>
      <c r="DC160" s="276"/>
      <c r="DD160" s="276"/>
      <c r="DE160" s="276"/>
      <c r="DG160" s="277"/>
      <c r="DH160" s="276"/>
      <c r="DI160" s="276"/>
      <c r="DJ160" s="276"/>
      <c r="DK160" s="276"/>
      <c r="DL160" s="276"/>
      <c r="DM160" s="276"/>
      <c r="DN160" s="276"/>
      <c r="DP160" s="277"/>
      <c r="DQ160" s="276"/>
      <c r="DR160" s="276"/>
      <c r="DS160" s="276"/>
      <c r="DT160" s="276"/>
      <c r="DU160" s="276"/>
      <c r="DV160" s="276"/>
      <c r="DW160" s="276"/>
      <c r="DY160" s="277"/>
      <c r="DZ160" s="276"/>
      <c r="EA160" s="276"/>
      <c r="EB160" s="276"/>
      <c r="EC160" s="276"/>
      <c r="ED160" s="276"/>
      <c r="EE160" s="276"/>
      <c r="EF160" s="276"/>
      <c r="EH160" s="277"/>
      <c r="EI160" s="276"/>
      <c r="EJ160" s="276"/>
      <c r="EK160" s="276"/>
      <c r="EL160" s="276"/>
      <c r="EM160" s="276"/>
      <c r="EN160" s="276"/>
      <c r="EO160" s="276"/>
      <c r="EQ160" s="277"/>
      <c r="ER160" s="276"/>
      <c r="ES160" s="276"/>
      <c r="ET160" s="276"/>
      <c r="EU160" s="276"/>
      <c r="EV160" s="276"/>
      <c r="EW160" s="276"/>
      <c r="EX160" s="276"/>
      <c r="EZ160" s="277"/>
      <c r="FA160" s="276"/>
      <c r="FB160" s="276"/>
    </row>
    <row r="161" spans="2:158" x14ac:dyDescent="0.2">
      <c r="B161" s="85"/>
      <c r="C161" s="126"/>
      <c r="D161" s="126"/>
      <c r="E161" s="126"/>
      <c r="F161" s="126"/>
      <c r="G161" s="136"/>
      <c r="H161" s="137"/>
      <c r="I161" s="278"/>
      <c r="J161" s="278"/>
      <c r="L161" s="279"/>
      <c r="M161" s="278"/>
      <c r="N161" s="278"/>
      <c r="O161" s="278"/>
      <c r="P161" s="278"/>
      <c r="Q161" s="278"/>
      <c r="R161" s="278"/>
      <c r="S161" s="278"/>
      <c r="U161" s="279"/>
      <c r="V161" s="278"/>
      <c r="W161" s="278"/>
      <c r="X161" s="278"/>
      <c r="Y161" s="278"/>
      <c r="Z161" s="278"/>
      <c r="AA161" s="278"/>
      <c r="AB161" s="278"/>
      <c r="AD161" s="279"/>
      <c r="AE161" s="278"/>
      <c r="AF161" s="278"/>
      <c r="AG161" s="278"/>
      <c r="AH161" s="278"/>
      <c r="AI161" s="278"/>
      <c r="AJ161" s="278"/>
      <c r="AK161" s="278"/>
      <c r="AM161" s="279"/>
      <c r="AN161" s="278"/>
      <c r="AO161" s="278"/>
      <c r="AP161" s="278"/>
      <c r="AQ161" s="278"/>
      <c r="AR161" s="278"/>
      <c r="AS161" s="278"/>
      <c r="AT161" s="278"/>
      <c r="AV161" s="279"/>
      <c r="AW161" s="278"/>
      <c r="AX161" s="278"/>
      <c r="AY161" s="278"/>
      <c r="AZ161" s="278"/>
      <c r="BA161" s="278"/>
      <c r="BB161" s="278"/>
      <c r="BC161" s="278"/>
      <c r="BE161" s="279"/>
      <c r="BF161" s="278"/>
      <c r="BG161" s="278"/>
      <c r="BH161" s="278"/>
      <c r="BI161" s="278"/>
      <c r="BJ161" s="278"/>
      <c r="BK161" s="278"/>
      <c r="BL161" s="278"/>
      <c r="BN161" s="279"/>
      <c r="BO161" s="278"/>
      <c r="BP161" s="278"/>
      <c r="BQ161" s="278"/>
      <c r="BR161" s="278"/>
      <c r="BS161" s="278"/>
      <c r="BT161" s="278"/>
      <c r="BU161" s="278"/>
      <c r="BW161" s="279"/>
      <c r="BX161" s="278"/>
      <c r="BY161" s="278"/>
      <c r="BZ161" s="278"/>
      <c r="CA161" s="278"/>
      <c r="CB161" s="278"/>
      <c r="CC161" s="278"/>
      <c r="CD161" s="278"/>
      <c r="CF161" s="279"/>
      <c r="CG161" s="278"/>
      <c r="CH161" s="278"/>
      <c r="CI161" s="278"/>
      <c r="CJ161" s="278"/>
      <c r="CK161" s="278"/>
      <c r="CL161" s="278"/>
      <c r="CM161" s="278"/>
      <c r="CO161" s="279"/>
      <c r="CP161" s="278"/>
      <c r="CQ161" s="278"/>
      <c r="CR161" s="278"/>
      <c r="CS161" s="278"/>
      <c r="CT161" s="278"/>
      <c r="CU161" s="278"/>
      <c r="CV161" s="278"/>
      <c r="CX161" s="279"/>
      <c r="CY161" s="278"/>
      <c r="CZ161" s="278"/>
      <c r="DA161" s="278"/>
      <c r="DB161" s="278"/>
      <c r="DC161" s="278"/>
      <c r="DD161" s="278"/>
      <c r="DE161" s="278"/>
      <c r="DG161" s="279"/>
      <c r="DH161" s="278"/>
      <c r="DI161" s="278"/>
      <c r="DJ161" s="278"/>
      <c r="DK161" s="278"/>
      <c r="DL161" s="278"/>
      <c r="DM161" s="278"/>
      <c r="DN161" s="278"/>
      <c r="DP161" s="279"/>
      <c r="DQ161" s="278"/>
      <c r="DR161" s="278"/>
      <c r="DS161" s="278"/>
      <c r="DT161" s="278"/>
      <c r="DU161" s="278"/>
      <c r="DV161" s="278"/>
      <c r="DW161" s="278"/>
      <c r="DY161" s="279"/>
      <c r="DZ161" s="278"/>
      <c r="EA161" s="278"/>
      <c r="EB161" s="278"/>
      <c r="EC161" s="278"/>
      <c r="ED161" s="278"/>
      <c r="EE161" s="278"/>
      <c r="EF161" s="278"/>
      <c r="EH161" s="279"/>
      <c r="EI161" s="278"/>
      <c r="EJ161" s="278"/>
      <c r="EK161" s="278"/>
      <c r="EL161" s="278"/>
      <c r="EM161" s="278"/>
      <c r="EN161" s="278"/>
      <c r="EO161" s="278"/>
      <c r="EQ161" s="279"/>
      <c r="ER161" s="278"/>
      <c r="ES161" s="278"/>
      <c r="ET161" s="278"/>
      <c r="EU161" s="278"/>
      <c r="EV161" s="278"/>
      <c r="EW161" s="278"/>
      <c r="EX161" s="278"/>
      <c r="EZ161" s="279"/>
      <c r="FA161" s="278"/>
      <c r="FB161" s="278"/>
    </row>
    <row r="162" spans="2:158" ht="15" hidden="1" customHeight="1" x14ac:dyDescent="0.2">
      <c r="B162" s="85"/>
      <c r="C162" s="126"/>
      <c r="D162" s="126"/>
      <c r="E162" s="126"/>
      <c r="F162" s="126"/>
      <c r="G162" s="136"/>
      <c r="H162" s="137"/>
      <c r="I162" s="278"/>
      <c r="J162" s="278"/>
      <c r="L162" s="279"/>
      <c r="M162" s="278"/>
      <c r="N162" s="278"/>
      <c r="O162" s="278"/>
      <c r="P162" s="278"/>
      <c r="Q162" s="278"/>
      <c r="R162" s="278"/>
      <c r="S162" s="278"/>
      <c r="U162" s="279"/>
      <c r="V162" s="278"/>
      <c r="W162" s="278"/>
      <c r="X162" s="278"/>
      <c r="Y162" s="278"/>
      <c r="Z162" s="278"/>
      <c r="AA162" s="278"/>
      <c r="AB162" s="278"/>
      <c r="AD162" s="279"/>
      <c r="AE162" s="278"/>
      <c r="AF162" s="278"/>
      <c r="AG162" s="278"/>
      <c r="AH162" s="278"/>
      <c r="AI162" s="278"/>
      <c r="AJ162" s="278"/>
      <c r="AK162" s="278"/>
      <c r="AM162" s="279"/>
      <c r="AN162" s="278"/>
      <c r="AO162" s="278"/>
      <c r="AP162" s="278"/>
      <c r="AQ162" s="278"/>
      <c r="AR162" s="278"/>
      <c r="AS162" s="278"/>
      <c r="AT162" s="278"/>
      <c r="AV162" s="279"/>
      <c r="AW162" s="278"/>
      <c r="AX162" s="278"/>
      <c r="AY162" s="278"/>
      <c r="AZ162" s="278"/>
      <c r="BA162" s="278"/>
      <c r="BB162" s="278"/>
      <c r="BC162" s="278"/>
      <c r="BE162" s="279"/>
      <c r="BF162" s="278"/>
      <c r="BG162" s="278"/>
      <c r="BH162" s="278"/>
      <c r="BI162" s="278"/>
      <c r="BJ162" s="278"/>
      <c r="BK162" s="278"/>
      <c r="BL162" s="278"/>
      <c r="BN162" s="279"/>
      <c r="BO162" s="278"/>
      <c r="BP162" s="278"/>
      <c r="BQ162" s="278"/>
      <c r="BR162" s="278"/>
      <c r="BS162" s="278"/>
      <c r="BT162" s="278"/>
      <c r="BU162" s="278"/>
      <c r="BW162" s="279"/>
      <c r="BX162" s="278"/>
      <c r="BY162" s="278"/>
      <c r="BZ162" s="278"/>
      <c r="CA162" s="278"/>
      <c r="CB162" s="278"/>
      <c r="CC162" s="278"/>
      <c r="CD162" s="278"/>
      <c r="CF162" s="279"/>
      <c r="CG162" s="278"/>
      <c r="CH162" s="278"/>
      <c r="CI162" s="278"/>
      <c r="CJ162" s="278"/>
      <c r="CK162" s="278"/>
      <c r="CL162" s="278"/>
      <c r="CM162" s="278"/>
      <c r="CO162" s="279"/>
      <c r="CP162" s="278"/>
      <c r="CQ162" s="278"/>
      <c r="CR162" s="278"/>
      <c r="CS162" s="278"/>
      <c r="CT162" s="278"/>
      <c r="CU162" s="278"/>
      <c r="CV162" s="278"/>
      <c r="CX162" s="279"/>
      <c r="CY162" s="278"/>
      <c r="CZ162" s="278"/>
      <c r="DA162" s="278"/>
      <c r="DB162" s="278"/>
      <c r="DC162" s="278"/>
      <c r="DD162" s="278"/>
      <c r="DE162" s="278"/>
      <c r="DG162" s="279"/>
      <c r="DH162" s="278"/>
      <c r="DI162" s="278"/>
      <c r="DJ162" s="278"/>
      <c r="DK162" s="278"/>
      <c r="DL162" s="278"/>
      <c r="DM162" s="278"/>
      <c r="DN162" s="278"/>
      <c r="DP162" s="279"/>
      <c r="DQ162" s="278"/>
      <c r="DR162" s="278"/>
      <c r="DS162" s="278"/>
      <c r="DT162" s="278"/>
      <c r="DU162" s="278"/>
      <c r="DV162" s="278"/>
      <c r="DW162" s="278"/>
      <c r="DY162" s="279"/>
      <c r="DZ162" s="278"/>
      <c r="EA162" s="278"/>
      <c r="EB162" s="278"/>
      <c r="EC162" s="278"/>
      <c r="ED162" s="278"/>
      <c r="EE162" s="278"/>
      <c r="EF162" s="278"/>
      <c r="EH162" s="279"/>
      <c r="EI162" s="278"/>
      <c r="EJ162" s="278"/>
      <c r="EK162" s="278"/>
      <c r="EL162" s="278"/>
      <c r="EM162" s="278"/>
      <c r="EN162" s="278"/>
      <c r="EO162" s="278"/>
      <c r="EQ162" s="279"/>
      <c r="ER162" s="278"/>
      <c r="ES162" s="278"/>
      <c r="ET162" s="278"/>
      <c r="EU162" s="278"/>
      <c r="EV162" s="278"/>
      <c r="EW162" s="278"/>
      <c r="EX162" s="278"/>
      <c r="EZ162" s="279"/>
      <c r="FA162" s="278"/>
      <c r="FB162" s="278"/>
    </row>
    <row r="163" spans="2:158" ht="15" hidden="1" customHeight="1" x14ac:dyDescent="0.2">
      <c r="B163" s="85"/>
      <c r="C163" s="126"/>
      <c r="D163" s="126"/>
      <c r="E163" s="126"/>
      <c r="F163" s="126"/>
      <c r="G163" s="136"/>
      <c r="H163" s="137"/>
      <c r="I163" s="278"/>
      <c r="J163" s="278"/>
      <c r="L163" s="279"/>
      <c r="M163" s="278"/>
      <c r="N163" s="278"/>
      <c r="O163" s="278"/>
      <c r="P163" s="278"/>
      <c r="Q163" s="278"/>
      <c r="R163" s="278"/>
      <c r="S163" s="278"/>
      <c r="U163" s="279"/>
      <c r="V163" s="278"/>
      <c r="W163" s="278"/>
      <c r="X163" s="278"/>
      <c r="Y163" s="278"/>
      <c r="Z163" s="278"/>
      <c r="AA163" s="278"/>
      <c r="AB163" s="278"/>
      <c r="AD163" s="279"/>
      <c r="AE163" s="278"/>
      <c r="AF163" s="278"/>
      <c r="AG163" s="278"/>
      <c r="AH163" s="278"/>
      <c r="AI163" s="278"/>
      <c r="AJ163" s="278"/>
      <c r="AK163" s="278"/>
      <c r="AM163" s="279"/>
      <c r="AN163" s="278"/>
      <c r="AO163" s="278"/>
      <c r="AP163" s="278"/>
      <c r="AQ163" s="278"/>
      <c r="AR163" s="278"/>
      <c r="AS163" s="278"/>
      <c r="AT163" s="278"/>
      <c r="AV163" s="279"/>
      <c r="AW163" s="278"/>
      <c r="AX163" s="278"/>
      <c r="AY163" s="278"/>
      <c r="AZ163" s="278"/>
      <c r="BA163" s="278"/>
      <c r="BB163" s="278"/>
      <c r="BC163" s="278"/>
      <c r="BE163" s="279"/>
      <c r="BF163" s="278"/>
      <c r="BG163" s="278"/>
      <c r="BH163" s="278"/>
      <c r="BI163" s="278"/>
      <c r="BJ163" s="278"/>
      <c r="BK163" s="278"/>
      <c r="BL163" s="278"/>
      <c r="BN163" s="279"/>
      <c r="BO163" s="278"/>
      <c r="BP163" s="278"/>
      <c r="BQ163" s="278"/>
      <c r="BR163" s="278"/>
      <c r="BS163" s="278"/>
      <c r="BT163" s="278"/>
      <c r="BU163" s="278"/>
      <c r="BW163" s="279"/>
      <c r="BX163" s="278"/>
      <c r="BY163" s="278"/>
      <c r="BZ163" s="278"/>
      <c r="CA163" s="278"/>
      <c r="CB163" s="278"/>
      <c r="CC163" s="278"/>
      <c r="CD163" s="278"/>
      <c r="CF163" s="279"/>
      <c r="CG163" s="278"/>
      <c r="CH163" s="278"/>
      <c r="CI163" s="278"/>
      <c r="CJ163" s="278"/>
      <c r="CK163" s="278"/>
      <c r="CL163" s="278"/>
      <c r="CM163" s="278"/>
      <c r="CO163" s="279"/>
      <c r="CP163" s="278"/>
      <c r="CQ163" s="278"/>
      <c r="CR163" s="278"/>
      <c r="CS163" s="278"/>
      <c r="CT163" s="278"/>
      <c r="CU163" s="278"/>
      <c r="CV163" s="278"/>
      <c r="CX163" s="279"/>
      <c r="CY163" s="278"/>
      <c r="CZ163" s="278"/>
      <c r="DA163" s="278"/>
      <c r="DB163" s="278"/>
      <c r="DC163" s="278"/>
      <c r="DD163" s="278"/>
      <c r="DE163" s="278"/>
      <c r="DG163" s="279"/>
      <c r="DH163" s="278"/>
      <c r="DI163" s="278"/>
      <c r="DJ163" s="278"/>
      <c r="DK163" s="278"/>
      <c r="DL163" s="278"/>
      <c r="DM163" s="278"/>
      <c r="DN163" s="278"/>
      <c r="DP163" s="279"/>
      <c r="DQ163" s="278"/>
      <c r="DR163" s="278"/>
      <c r="DS163" s="278"/>
      <c r="DT163" s="278"/>
      <c r="DU163" s="278"/>
      <c r="DV163" s="278"/>
      <c r="DW163" s="278"/>
      <c r="DY163" s="279"/>
      <c r="DZ163" s="278"/>
      <c r="EA163" s="278"/>
      <c r="EB163" s="278"/>
      <c r="EC163" s="278"/>
      <c r="ED163" s="278"/>
      <c r="EE163" s="278"/>
      <c r="EF163" s="278"/>
      <c r="EH163" s="279"/>
      <c r="EI163" s="278"/>
      <c r="EJ163" s="278"/>
      <c r="EK163" s="278"/>
      <c r="EL163" s="278"/>
      <c r="EM163" s="278"/>
      <c r="EN163" s="278"/>
      <c r="EO163" s="278"/>
      <c r="EQ163" s="279"/>
      <c r="ER163" s="278"/>
      <c r="ES163" s="278"/>
      <c r="ET163" s="278"/>
      <c r="EU163" s="278"/>
      <c r="EV163" s="278"/>
      <c r="EW163" s="278"/>
      <c r="EX163" s="278"/>
      <c r="EZ163" s="279"/>
      <c r="FA163" s="278"/>
      <c r="FB163" s="278"/>
    </row>
    <row r="164" spans="2:158" ht="15" hidden="1" customHeight="1" x14ac:dyDescent="0.2">
      <c r="B164" s="85"/>
      <c r="C164" s="126"/>
      <c r="D164" s="126"/>
      <c r="E164" s="126"/>
      <c r="F164" s="126"/>
      <c r="G164" s="136"/>
      <c r="H164" s="137"/>
      <c r="I164" s="278"/>
      <c r="J164" s="278"/>
      <c r="L164" s="279"/>
      <c r="M164" s="278"/>
      <c r="N164" s="278"/>
      <c r="O164" s="278"/>
      <c r="P164" s="278"/>
      <c r="Q164" s="278"/>
      <c r="R164" s="278"/>
      <c r="S164" s="278"/>
      <c r="U164" s="279"/>
      <c r="V164" s="278"/>
      <c r="W164" s="278"/>
      <c r="X164" s="278"/>
      <c r="Y164" s="278"/>
      <c r="Z164" s="278"/>
      <c r="AA164" s="278"/>
      <c r="AB164" s="278"/>
      <c r="AD164" s="279"/>
      <c r="AE164" s="278"/>
      <c r="AF164" s="278"/>
      <c r="AG164" s="278"/>
      <c r="AH164" s="278"/>
      <c r="AI164" s="278"/>
      <c r="AJ164" s="278"/>
      <c r="AK164" s="278"/>
      <c r="AM164" s="279"/>
      <c r="AN164" s="278"/>
      <c r="AO164" s="278"/>
      <c r="AP164" s="278"/>
      <c r="AQ164" s="278"/>
      <c r="AR164" s="278"/>
      <c r="AS164" s="278"/>
      <c r="AT164" s="278"/>
      <c r="AV164" s="279"/>
      <c r="AW164" s="278"/>
      <c r="AX164" s="278"/>
      <c r="AY164" s="278"/>
      <c r="AZ164" s="278"/>
      <c r="BA164" s="278"/>
      <c r="BB164" s="278"/>
      <c r="BC164" s="278"/>
      <c r="BE164" s="279"/>
      <c r="BF164" s="278"/>
      <c r="BG164" s="278"/>
      <c r="BH164" s="278"/>
      <c r="BI164" s="278"/>
      <c r="BJ164" s="278"/>
      <c r="BK164" s="278"/>
      <c r="BL164" s="278"/>
      <c r="BN164" s="279"/>
      <c r="BO164" s="278"/>
      <c r="BP164" s="278"/>
      <c r="BQ164" s="278"/>
      <c r="BR164" s="278"/>
      <c r="BS164" s="278"/>
      <c r="BT164" s="278"/>
      <c r="BU164" s="278"/>
      <c r="BW164" s="279"/>
      <c r="BX164" s="278"/>
      <c r="BY164" s="278"/>
      <c r="BZ164" s="278"/>
      <c r="CA164" s="278"/>
      <c r="CB164" s="278"/>
      <c r="CC164" s="278"/>
      <c r="CD164" s="278"/>
      <c r="CF164" s="279"/>
      <c r="CG164" s="278"/>
      <c r="CH164" s="278"/>
      <c r="CI164" s="278"/>
      <c r="CJ164" s="278"/>
      <c r="CK164" s="278"/>
      <c r="CL164" s="278"/>
      <c r="CM164" s="278"/>
      <c r="CO164" s="279"/>
      <c r="CP164" s="278"/>
      <c r="CQ164" s="278"/>
      <c r="CR164" s="278"/>
      <c r="CS164" s="278"/>
      <c r="CT164" s="278"/>
      <c r="CU164" s="278"/>
      <c r="CV164" s="278"/>
      <c r="CX164" s="279"/>
      <c r="CY164" s="278"/>
      <c r="CZ164" s="278"/>
      <c r="DA164" s="278"/>
      <c r="DB164" s="278"/>
      <c r="DC164" s="278"/>
      <c r="DD164" s="278"/>
      <c r="DE164" s="278"/>
      <c r="DG164" s="279"/>
      <c r="DH164" s="278"/>
      <c r="DI164" s="278"/>
      <c r="DJ164" s="278"/>
      <c r="DK164" s="278"/>
      <c r="DL164" s="278"/>
      <c r="DM164" s="278"/>
      <c r="DN164" s="278"/>
      <c r="DP164" s="279"/>
      <c r="DQ164" s="278"/>
      <c r="DR164" s="278"/>
      <c r="DS164" s="278"/>
      <c r="DT164" s="278"/>
      <c r="DU164" s="278"/>
      <c r="DV164" s="278"/>
      <c r="DW164" s="278"/>
      <c r="DY164" s="279"/>
      <c r="DZ164" s="278"/>
      <c r="EA164" s="278"/>
      <c r="EB164" s="278"/>
      <c r="EC164" s="278"/>
      <c r="ED164" s="278"/>
      <c r="EE164" s="278"/>
      <c r="EF164" s="278"/>
      <c r="EH164" s="279"/>
      <c r="EI164" s="278"/>
      <c r="EJ164" s="278"/>
      <c r="EK164" s="278"/>
      <c r="EL164" s="278"/>
      <c r="EM164" s="278"/>
      <c r="EN164" s="278"/>
      <c r="EO164" s="278"/>
      <c r="EQ164" s="279"/>
      <c r="ER164" s="278"/>
      <c r="ES164" s="278"/>
      <c r="ET164" s="278"/>
      <c r="EU164" s="278"/>
      <c r="EV164" s="278"/>
      <c r="EW164" s="278"/>
      <c r="EX164" s="278"/>
      <c r="EZ164" s="279"/>
      <c r="FA164" s="278"/>
      <c r="FB164" s="278"/>
    </row>
    <row r="165" spans="2:158" ht="15.75" x14ac:dyDescent="0.2">
      <c r="B165" s="107" t="s">
        <v>352</v>
      </c>
      <c r="C165" s="126"/>
      <c r="D165" s="126"/>
      <c r="E165" s="126"/>
      <c r="F165" s="126"/>
      <c r="G165" s="136"/>
      <c r="H165" s="137"/>
      <c r="I165" s="278"/>
      <c r="J165" s="278"/>
      <c r="L165" s="279"/>
      <c r="M165" s="278"/>
      <c r="N165" s="278"/>
      <c r="O165" s="278"/>
      <c r="P165" s="278"/>
      <c r="Q165" s="278"/>
      <c r="R165" s="278"/>
      <c r="S165" s="278"/>
      <c r="U165" s="279"/>
      <c r="V165" s="278"/>
      <c r="W165" s="278"/>
      <c r="X165" s="278"/>
      <c r="Y165" s="278"/>
      <c r="Z165" s="278"/>
      <c r="AA165" s="278"/>
      <c r="AB165" s="278"/>
      <c r="AD165" s="279"/>
      <c r="AE165" s="278"/>
      <c r="AF165" s="278"/>
      <c r="AG165" s="278"/>
      <c r="AH165" s="278"/>
      <c r="AI165" s="278"/>
      <c r="AJ165" s="278"/>
      <c r="AK165" s="278"/>
      <c r="AM165" s="279"/>
      <c r="AN165" s="278"/>
      <c r="AO165" s="278"/>
      <c r="AP165" s="278"/>
      <c r="AQ165" s="278"/>
      <c r="AR165" s="278"/>
      <c r="AS165" s="278"/>
      <c r="AT165" s="278"/>
      <c r="AV165" s="279"/>
      <c r="AW165" s="278"/>
      <c r="AX165" s="278"/>
      <c r="AY165" s="278"/>
      <c r="AZ165" s="278"/>
      <c r="BA165" s="278"/>
      <c r="BB165" s="278"/>
      <c r="BC165" s="278"/>
      <c r="BE165" s="279"/>
      <c r="BF165" s="278"/>
      <c r="BG165" s="278"/>
      <c r="BH165" s="278"/>
      <c r="BI165" s="278"/>
      <c r="BJ165" s="278"/>
      <c r="BK165" s="278"/>
      <c r="BL165" s="278"/>
      <c r="BN165" s="279"/>
      <c r="BO165" s="278"/>
      <c r="BP165" s="278"/>
      <c r="BQ165" s="278"/>
      <c r="BR165" s="278"/>
      <c r="BS165" s="278"/>
      <c r="BT165" s="278"/>
      <c r="BU165" s="278"/>
      <c r="BW165" s="279"/>
      <c r="BX165" s="278"/>
      <c r="BY165" s="278"/>
      <c r="BZ165" s="278"/>
      <c r="CA165" s="278"/>
      <c r="CB165" s="278"/>
      <c r="CC165" s="278"/>
      <c r="CD165" s="278"/>
      <c r="CF165" s="279"/>
      <c r="CG165" s="278"/>
      <c r="CH165" s="278"/>
      <c r="CI165" s="278"/>
      <c r="CJ165" s="278"/>
      <c r="CK165" s="278"/>
      <c r="CL165" s="278"/>
      <c r="CM165" s="278"/>
      <c r="CO165" s="279"/>
      <c r="CP165" s="278"/>
      <c r="CQ165" s="278"/>
      <c r="CR165" s="278"/>
      <c r="CS165" s="278"/>
      <c r="CT165" s="278"/>
      <c r="CU165" s="278"/>
      <c r="CV165" s="278"/>
      <c r="CX165" s="279"/>
      <c r="CY165" s="278"/>
      <c r="CZ165" s="278"/>
      <c r="DA165" s="278"/>
      <c r="DB165" s="278"/>
      <c r="DC165" s="278"/>
      <c r="DD165" s="278"/>
      <c r="DE165" s="278"/>
      <c r="DG165" s="279"/>
      <c r="DH165" s="278"/>
      <c r="DI165" s="278"/>
      <c r="DJ165" s="278"/>
      <c r="DK165" s="278"/>
      <c r="DL165" s="278"/>
      <c r="DM165" s="278"/>
      <c r="DN165" s="278"/>
      <c r="DP165" s="279"/>
      <c r="DQ165" s="278"/>
      <c r="DR165" s="278"/>
      <c r="DS165" s="278"/>
      <c r="DT165" s="278"/>
      <c r="DU165" s="278"/>
      <c r="DV165" s="278"/>
      <c r="DW165" s="278"/>
      <c r="DY165" s="279"/>
      <c r="DZ165" s="278"/>
      <c r="EA165" s="278"/>
      <c r="EB165" s="278"/>
      <c r="EC165" s="278"/>
      <c r="ED165" s="278"/>
      <c r="EE165" s="278"/>
      <c r="EF165" s="278"/>
      <c r="EH165" s="279"/>
      <c r="EI165" s="278"/>
      <c r="EJ165" s="278"/>
      <c r="EK165" s="278"/>
      <c r="EL165" s="278"/>
      <c r="EM165" s="278"/>
      <c r="EN165" s="278"/>
      <c r="EO165" s="278"/>
      <c r="EQ165" s="279"/>
      <c r="ER165" s="278"/>
      <c r="ES165" s="278"/>
      <c r="ET165" s="278"/>
      <c r="EU165" s="278"/>
      <c r="EV165" s="278"/>
      <c r="EW165" s="278"/>
      <c r="EX165" s="278"/>
      <c r="EZ165" s="279"/>
      <c r="FA165" s="278"/>
      <c r="FB165" s="278"/>
    </row>
    <row r="166" spans="2:158" x14ac:dyDescent="0.2">
      <c r="B166" s="78" t="s">
        <v>157</v>
      </c>
      <c r="C166" s="138">
        <v>0.9</v>
      </c>
      <c r="D166" s="138">
        <v>1</v>
      </c>
      <c r="E166" s="138">
        <v>1.3</v>
      </c>
      <c r="F166" s="138">
        <v>1.3</v>
      </c>
      <c r="G166" s="138">
        <v>1.7</v>
      </c>
      <c r="H166" s="139">
        <v>1.5</v>
      </c>
    </row>
    <row r="167" spans="2:158" x14ac:dyDescent="0.2">
      <c r="B167" s="78" t="s">
        <v>158</v>
      </c>
      <c r="C167" s="138">
        <v>1.1000000000000001</v>
      </c>
      <c r="D167" s="138">
        <v>1.1000000000000001</v>
      </c>
      <c r="E167" s="138">
        <v>1.1000000000000001</v>
      </c>
      <c r="F167" s="138">
        <v>1.1000000000000001</v>
      </c>
      <c r="G167" s="138">
        <v>1.1000000000000001</v>
      </c>
      <c r="H167" s="139">
        <v>1.1000000000000001</v>
      </c>
    </row>
    <row r="168" spans="2:158" x14ac:dyDescent="0.2">
      <c r="B168" s="78" t="s">
        <v>207</v>
      </c>
      <c r="C168" s="126">
        <v>0.33</v>
      </c>
      <c r="D168" s="126">
        <v>0.33</v>
      </c>
      <c r="E168" s="126">
        <v>0.33</v>
      </c>
      <c r="F168" s="126">
        <v>0.33</v>
      </c>
      <c r="G168" s="126">
        <v>4.05</v>
      </c>
      <c r="H168" s="127">
        <v>0.39</v>
      </c>
    </row>
    <row r="169" spans="2:158" x14ac:dyDescent="0.2">
      <c r="B169" s="78" t="s">
        <v>160</v>
      </c>
      <c r="C169" s="126">
        <v>1.34772</v>
      </c>
      <c r="D169" s="126">
        <v>1.36182</v>
      </c>
      <c r="E169" s="126">
        <v>1.3849800000000001</v>
      </c>
      <c r="F169" s="126">
        <v>1.43496</v>
      </c>
      <c r="G169" s="126">
        <v>1.55742</v>
      </c>
      <c r="H169" s="127">
        <v>1.53942</v>
      </c>
    </row>
    <row r="170" spans="2:158" x14ac:dyDescent="0.2">
      <c r="B170" s="78"/>
      <c r="C170" s="138"/>
      <c r="D170" s="126"/>
      <c r="E170" s="126"/>
      <c r="F170" s="126"/>
      <c r="G170" s="126"/>
      <c r="H170" s="127"/>
    </row>
    <row r="171" spans="2:158" ht="15.75" x14ac:dyDescent="0.2">
      <c r="B171" s="107" t="s">
        <v>353</v>
      </c>
      <c r="C171" s="126"/>
      <c r="D171" s="126"/>
      <c r="E171" s="126"/>
      <c r="F171" s="126"/>
      <c r="G171" s="136"/>
      <c r="H171" s="137"/>
      <c r="I171" s="278"/>
      <c r="J171" s="278"/>
      <c r="L171" s="279"/>
      <c r="M171" s="278"/>
      <c r="N171" s="278"/>
      <c r="O171" s="278"/>
      <c r="P171" s="278"/>
      <c r="Q171" s="278"/>
      <c r="R171" s="278"/>
      <c r="S171" s="278"/>
      <c r="U171" s="279"/>
      <c r="V171" s="278"/>
      <c r="W171" s="278"/>
      <c r="X171" s="278"/>
      <c r="Y171" s="278"/>
      <c r="Z171" s="278"/>
      <c r="AA171" s="278"/>
      <c r="AB171" s="278"/>
      <c r="AD171" s="279"/>
      <c r="AE171" s="278"/>
      <c r="AF171" s="278"/>
      <c r="AG171" s="278"/>
      <c r="AH171" s="278"/>
      <c r="AI171" s="278"/>
      <c r="AJ171" s="278"/>
      <c r="AK171" s="278"/>
      <c r="AM171" s="279"/>
      <c r="AN171" s="278"/>
      <c r="AO171" s="278"/>
      <c r="AP171" s="278"/>
      <c r="AQ171" s="278"/>
      <c r="AR171" s="278"/>
      <c r="AS171" s="278"/>
      <c r="AT171" s="278"/>
      <c r="AV171" s="279"/>
      <c r="AW171" s="278"/>
      <c r="AX171" s="278"/>
      <c r="AY171" s="278"/>
      <c r="AZ171" s="278"/>
      <c r="BA171" s="278"/>
      <c r="BB171" s="278"/>
      <c r="BC171" s="278"/>
      <c r="BE171" s="279"/>
      <c r="BF171" s="278"/>
      <c r="BG171" s="278"/>
      <c r="BH171" s="278"/>
      <c r="BI171" s="278"/>
      <c r="BJ171" s="278"/>
      <c r="BK171" s="278"/>
      <c r="BL171" s="278"/>
      <c r="BN171" s="279"/>
      <c r="BO171" s="278"/>
      <c r="BP171" s="278"/>
      <c r="BQ171" s="278"/>
      <c r="BR171" s="278"/>
      <c r="BS171" s="278"/>
      <c r="BT171" s="278"/>
      <c r="BU171" s="278"/>
      <c r="BW171" s="279"/>
      <c r="BX171" s="278"/>
      <c r="BY171" s="278"/>
      <c r="BZ171" s="278"/>
      <c r="CA171" s="278"/>
      <c r="CB171" s="278"/>
      <c r="CC171" s="278"/>
      <c r="CD171" s="278"/>
      <c r="CF171" s="279"/>
      <c r="CG171" s="278"/>
      <c r="CH171" s="278"/>
      <c r="CI171" s="278"/>
      <c r="CJ171" s="278"/>
      <c r="CK171" s="278"/>
      <c r="CL171" s="278"/>
      <c r="CM171" s="278"/>
      <c r="CO171" s="279"/>
      <c r="CP171" s="278"/>
      <c r="CQ171" s="278"/>
      <c r="CR171" s="278"/>
      <c r="CS171" s="278"/>
      <c r="CT171" s="278"/>
      <c r="CU171" s="278"/>
      <c r="CV171" s="278"/>
      <c r="CX171" s="279"/>
      <c r="CY171" s="278"/>
      <c r="CZ171" s="278"/>
      <c r="DA171" s="278"/>
      <c r="DB171" s="278"/>
      <c r="DC171" s="278"/>
      <c r="DD171" s="278"/>
      <c r="DE171" s="278"/>
      <c r="DG171" s="279"/>
      <c r="DH171" s="278"/>
      <c r="DI171" s="278"/>
      <c r="DJ171" s="278"/>
      <c r="DK171" s="278"/>
      <c r="DL171" s="278"/>
      <c r="DM171" s="278"/>
      <c r="DN171" s="278"/>
      <c r="DP171" s="279"/>
      <c r="DQ171" s="278"/>
      <c r="DR171" s="278"/>
      <c r="DS171" s="278"/>
      <c r="DT171" s="278"/>
      <c r="DU171" s="278"/>
      <c r="DV171" s="278"/>
      <c r="DW171" s="278"/>
      <c r="DY171" s="279"/>
      <c r="DZ171" s="278"/>
      <c r="EA171" s="278"/>
      <c r="EB171" s="278"/>
      <c r="EC171" s="278"/>
      <c r="ED171" s="278"/>
      <c r="EE171" s="278"/>
      <c r="EF171" s="278"/>
      <c r="EH171" s="279"/>
      <c r="EI171" s="278"/>
      <c r="EJ171" s="278"/>
      <c r="EK171" s="278"/>
      <c r="EL171" s="278"/>
      <c r="EM171" s="278"/>
      <c r="EN171" s="278"/>
      <c r="EO171" s="278"/>
      <c r="EQ171" s="279"/>
      <c r="ER171" s="278"/>
      <c r="ES171" s="278"/>
      <c r="ET171" s="278"/>
      <c r="EU171" s="278"/>
      <c r="EV171" s="278"/>
      <c r="EW171" s="278"/>
      <c r="EX171" s="278"/>
      <c r="EZ171" s="279"/>
      <c r="FA171" s="278"/>
      <c r="FB171" s="278"/>
    </row>
    <row r="172" spans="2:158" x14ac:dyDescent="0.2">
      <c r="B172" s="78" t="s">
        <v>157</v>
      </c>
      <c r="C172" s="142">
        <v>0.9</v>
      </c>
      <c r="D172" s="142">
        <v>1</v>
      </c>
      <c r="E172" s="142">
        <v>1.3</v>
      </c>
      <c r="F172" s="142">
        <v>1.3</v>
      </c>
      <c r="G172" s="138">
        <v>1.7</v>
      </c>
      <c r="H172" s="139">
        <v>1.5</v>
      </c>
    </row>
    <row r="173" spans="2:158" x14ac:dyDescent="0.2">
      <c r="B173" s="78" t="s">
        <v>158</v>
      </c>
      <c r="C173" s="142">
        <v>1.1000000000000001</v>
      </c>
      <c r="D173" s="142">
        <v>1.1000000000000001</v>
      </c>
      <c r="E173" s="142">
        <v>1.1000000000000001</v>
      </c>
      <c r="F173" s="142">
        <v>1.1000000000000001</v>
      </c>
      <c r="G173" s="138">
        <v>1.1000000000000001</v>
      </c>
      <c r="H173" s="139">
        <v>1.1000000000000001</v>
      </c>
    </row>
    <row r="174" spans="2:158" x14ac:dyDescent="0.2">
      <c r="B174" s="78" t="s">
        <v>207</v>
      </c>
      <c r="C174" s="142">
        <v>0.33</v>
      </c>
      <c r="D174" s="142">
        <v>0.33</v>
      </c>
      <c r="E174" s="142">
        <v>0.33</v>
      </c>
      <c r="F174" s="142">
        <v>0.33</v>
      </c>
      <c r="G174" s="126">
        <v>4.05</v>
      </c>
      <c r="H174" s="127">
        <v>0.39</v>
      </c>
    </row>
    <row r="175" spans="2:158" x14ac:dyDescent="0.2">
      <c r="B175" s="78" t="s">
        <v>160</v>
      </c>
      <c r="C175" s="142">
        <v>1.34772</v>
      </c>
      <c r="D175" s="142">
        <v>1.36182</v>
      </c>
      <c r="E175" s="142">
        <v>1.3849800000000001</v>
      </c>
      <c r="F175" s="142">
        <v>1.43496</v>
      </c>
      <c r="G175" s="126">
        <v>1.55742</v>
      </c>
      <c r="H175" s="127">
        <v>1.53942</v>
      </c>
    </row>
    <row r="176" spans="2:158" x14ac:dyDescent="0.2">
      <c r="B176" s="78"/>
      <c r="C176" s="138"/>
      <c r="D176" s="126"/>
      <c r="E176" s="126"/>
      <c r="F176" s="126"/>
      <c r="G176" s="126"/>
      <c r="H176" s="127"/>
    </row>
    <row r="177" spans="2:8" ht="15.75" x14ac:dyDescent="0.2">
      <c r="B177" s="140" t="s">
        <v>161</v>
      </c>
      <c r="C177" s="126"/>
      <c r="D177" s="126"/>
      <c r="E177" s="126"/>
      <c r="F177" s="126"/>
      <c r="G177" s="126"/>
      <c r="H177" s="127"/>
    </row>
    <row r="178" spans="2:8" x14ac:dyDescent="0.2">
      <c r="B178" s="141" t="s">
        <v>162</v>
      </c>
      <c r="C178" s="123">
        <v>190</v>
      </c>
      <c r="D178" s="123">
        <v>190</v>
      </c>
      <c r="E178" s="123">
        <v>190</v>
      </c>
      <c r="F178" s="123">
        <v>190</v>
      </c>
      <c r="G178" s="123">
        <v>190</v>
      </c>
      <c r="H178" s="124">
        <v>190</v>
      </c>
    </row>
    <row r="179" spans="2:8" x14ac:dyDescent="0.2">
      <c r="B179" s="141" t="s">
        <v>163</v>
      </c>
      <c r="C179" s="138" t="s">
        <v>208</v>
      </c>
      <c r="D179" s="138" t="s">
        <v>208</v>
      </c>
      <c r="E179" s="138" t="s">
        <v>208</v>
      </c>
      <c r="F179" s="138" t="s">
        <v>208</v>
      </c>
      <c r="G179" s="138" t="s">
        <v>208</v>
      </c>
      <c r="H179" s="139" t="s">
        <v>208</v>
      </c>
    </row>
    <row r="180" spans="2:8" x14ac:dyDescent="0.2">
      <c r="B180" s="141" t="s">
        <v>164</v>
      </c>
      <c r="C180" s="138">
        <v>3</v>
      </c>
      <c r="D180" s="138">
        <v>3</v>
      </c>
      <c r="E180" s="138">
        <v>3</v>
      </c>
      <c r="F180" s="138">
        <v>3</v>
      </c>
      <c r="G180" s="138">
        <v>3</v>
      </c>
      <c r="H180" s="139">
        <v>3</v>
      </c>
    </row>
    <row r="181" spans="2:8" hidden="1" x14ac:dyDescent="0.2">
      <c r="B181" s="141"/>
      <c r="C181" s="138"/>
      <c r="D181" s="123"/>
      <c r="E181" s="123"/>
      <c r="F181" s="138"/>
      <c r="G181" s="138"/>
      <c r="H181" s="124"/>
    </row>
    <row r="182" spans="2:8" x14ac:dyDescent="0.2">
      <c r="B182" s="85"/>
      <c r="C182" s="123"/>
      <c r="D182" s="123"/>
      <c r="E182" s="123"/>
      <c r="F182" s="123"/>
      <c r="G182" s="123"/>
      <c r="H182" s="124"/>
    </row>
    <row r="183" spans="2:8" ht="15.75" x14ac:dyDescent="0.2">
      <c r="B183" s="107" t="s">
        <v>165</v>
      </c>
      <c r="C183" s="123"/>
      <c r="D183" s="123"/>
      <c r="E183" s="123"/>
      <c r="F183" s="123"/>
      <c r="G183" s="123"/>
      <c r="H183" s="124"/>
    </row>
    <row r="184" spans="2:8" x14ac:dyDescent="0.2">
      <c r="B184" s="96" t="s">
        <v>166</v>
      </c>
      <c r="C184" s="142">
        <v>10.07</v>
      </c>
      <c r="D184" s="142">
        <v>9.9500000000000011</v>
      </c>
      <c r="E184" s="142">
        <v>9.85</v>
      </c>
      <c r="F184" s="142">
        <v>9.85</v>
      </c>
      <c r="G184" s="142">
        <v>10.17</v>
      </c>
      <c r="H184" s="143">
        <v>9.7200000000000006</v>
      </c>
    </row>
    <row r="185" spans="2:8" x14ac:dyDescent="0.2">
      <c r="B185" s="144" t="s">
        <v>167</v>
      </c>
      <c r="C185" s="142">
        <v>8.35</v>
      </c>
      <c r="D185" s="142">
        <v>8.2200000000000006</v>
      </c>
      <c r="E185" s="142">
        <v>8.1199999999999992</v>
      </c>
      <c r="F185" s="142">
        <v>8.1199999999999992</v>
      </c>
      <c r="G185" s="142">
        <v>8.44</v>
      </c>
      <c r="H185" s="143">
        <v>7.99</v>
      </c>
    </row>
    <row r="186" spans="2:8" x14ac:dyDescent="0.2">
      <c r="B186" s="144" t="s">
        <v>168</v>
      </c>
      <c r="C186" s="142">
        <v>0.82</v>
      </c>
      <c r="D186" s="142">
        <v>0.83</v>
      </c>
      <c r="E186" s="142">
        <v>0.83</v>
      </c>
      <c r="F186" s="142">
        <v>0.83</v>
      </c>
      <c r="G186" s="142">
        <v>0.83</v>
      </c>
      <c r="H186" s="143">
        <v>0.83</v>
      </c>
    </row>
    <row r="187" spans="2:8" x14ac:dyDescent="0.2">
      <c r="B187" s="144" t="s">
        <v>169</v>
      </c>
      <c r="C187" s="142">
        <v>0.9</v>
      </c>
      <c r="D187" s="142">
        <v>0.9</v>
      </c>
      <c r="E187" s="142">
        <v>0.9</v>
      </c>
      <c r="F187" s="142">
        <v>0.9</v>
      </c>
      <c r="G187" s="142">
        <v>0.9</v>
      </c>
      <c r="H187" s="143">
        <v>0.9</v>
      </c>
    </row>
    <row r="188" spans="2:8" x14ac:dyDescent="0.2">
      <c r="B188" s="96"/>
      <c r="C188" s="145"/>
      <c r="D188" s="145"/>
      <c r="E188" s="145"/>
      <c r="F188" s="145"/>
      <c r="G188" s="145"/>
      <c r="H188" s="146"/>
    </row>
    <row r="189" spans="2:8" ht="15.75" x14ac:dyDescent="0.2">
      <c r="B189" s="107" t="s">
        <v>170</v>
      </c>
      <c r="C189" s="123"/>
      <c r="D189" s="123"/>
      <c r="E189" s="123"/>
      <c r="F189" s="123"/>
      <c r="G189" s="123"/>
      <c r="H189" s="124"/>
    </row>
    <row r="190" spans="2:8" x14ac:dyDescent="0.2">
      <c r="B190" s="96" t="s">
        <v>166</v>
      </c>
      <c r="C190" s="142">
        <v>10.199999999999999</v>
      </c>
      <c r="D190" s="142">
        <v>10</v>
      </c>
      <c r="E190" s="142">
        <v>9.9</v>
      </c>
      <c r="F190" s="142">
        <v>9.9</v>
      </c>
      <c r="G190" s="142">
        <v>10.210000000000001</v>
      </c>
      <c r="H190" s="143">
        <v>9.7899999999999991</v>
      </c>
    </row>
    <row r="191" spans="2:8" x14ac:dyDescent="0.2">
      <c r="B191" s="144" t="s">
        <v>167</v>
      </c>
      <c r="C191" s="142">
        <v>8.1999999999999993</v>
      </c>
      <c r="D191" s="142">
        <v>8.1</v>
      </c>
      <c r="E191" s="142">
        <v>8</v>
      </c>
      <c r="F191" s="142">
        <v>8</v>
      </c>
      <c r="G191" s="142">
        <v>8.2799999999999994</v>
      </c>
      <c r="H191" s="143">
        <v>7.86</v>
      </c>
    </row>
    <row r="192" spans="2:8" x14ac:dyDescent="0.2">
      <c r="B192" s="144" t="s">
        <v>168</v>
      </c>
      <c r="C192" s="142">
        <v>1</v>
      </c>
      <c r="D192" s="142">
        <v>1</v>
      </c>
      <c r="E192" s="142">
        <v>1</v>
      </c>
      <c r="F192" s="142">
        <v>1</v>
      </c>
      <c r="G192" s="142">
        <v>1.03</v>
      </c>
      <c r="H192" s="143">
        <v>1.03</v>
      </c>
    </row>
    <row r="193" spans="2:8" x14ac:dyDescent="0.2">
      <c r="B193" s="144" t="s">
        <v>169</v>
      </c>
      <c r="C193" s="142">
        <v>0.9</v>
      </c>
      <c r="D193" s="142">
        <v>0.9</v>
      </c>
      <c r="E193" s="142">
        <v>0.9</v>
      </c>
      <c r="F193" s="142">
        <v>0.9</v>
      </c>
      <c r="G193" s="142">
        <v>0.9</v>
      </c>
      <c r="H193" s="143">
        <v>0.9</v>
      </c>
    </row>
    <row r="194" spans="2:8" x14ac:dyDescent="0.2">
      <c r="B194" s="96"/>
      <c r="C194" s="145"/>
      <c r="D194" s="145"/>
      <c r="E194" s="145"/>
      <c r="F194" s="145"/>
      <c r="G194" s="145"/>
      <c r="H194" s="146"/>
    </row>
    <row r="195" spans="2:8" ht="15" customHeight="1" x14ac:dyDescent="0.2">
      <c r="B195" s="147" t="s">
        <v>171</v>
      </c>
      <c r="C195" s="104"/>
      <c r="D195" s="104"/>
      <c r="E195" s="104"/>
      <c r="F195" s="104"/>
      <c r="G195" s="104"/>
      <c r="H195" s="105"/>
    </row>
    <row r="196" spans="2:8" ht="15" customHeight="1" x14ac:dyDescent="0.2">
      <c r="B196" s="141" t="s">
        <v>172</v>
      </c>
      <c r="C196" s="148">
        <v>-11.3</v>
      </c>
      <c r="D196" s="148">
        <v>-11.3</v>
      </c>
      <c r="E196" s="148">
        <v>-11.3</v>
      </c>
      <c r="F196" s="148">
        <v>-11.3</v>
      </c>
      <c r="G196" s="148">
        <v>-12.3</v>
      </c>
      <c r="H196" s="149">
        <v>-12.3</v>
      </c>
    </row>
    <row r="197" spans="2:8" ht="15" customHeight="1" x14ac:dyDescent="0.2">
      <c r="B197" s="141" t="s">
        <v>173</v>
      </c>
      <c r="C197" s="148">
        <v>-4.8</v>
      </c>
      <c r="D197" s="148">
        <v>-4.8</v>
      </c>
      <c r="E197" s="148">
        <v>-4.8</v>
      </c>
      <c r="F197" s="148">
        <v>-4.8</v>
      </c>
      <c r="G197" s="148">
        <v>-4.9000000000000004</v>
      </c>
      <c r="H197" s="149">
        <v>-4.9000000000000004</v>
      </c>
    </row>
    <row r="198" spans="2:8" ht="15" customHeight="1" x14ac:dyDescent="0.2">
      <c r="B198" s="141"/>
      <c r="C198" s="148"/>
      <c r="D198" s="148"/>
      <c r="E198" s="148"/>
      <c r="F198" s="148"/>
      <c r="G198" s="148"/>
      <c r="H198" s="149"/>
    </row>
    <row r="199" spans="2:8" ht="15" customHeight="1" x14ac:dyDescent="0.2">
      <c r="B199" s="147" t="s">
        <v>174</v>
      </c>
      <c r="C199" s="148"/>
      <c r="D199" s="148"/>
      <c r="E199" s="148"/>
      <c r="F199" s="148"/>
      <c r="G199" s="148"/>
      <c r="H199" s="149"/>
    </row>
    <row r="200" spans="2:8" ht="15" customHeight="1" x14ac:dyDescent="0.2">
      <c r="B200" s="141" t="s">
        <v>172</v>
      </c>
      <c r="C200" s="148">
        <v>-17.100000000000001</v>
      </c>
      <c r="D200" s="148">
        <v>-17.100000000000001</v>
      </c>
      <c r="E200" s="148">
        <v>-17.100000000000001</v>
      </c>
      <c r="F200" s="148">
        <v>-17.100000000000001</v>
      </c>
      <c r="G200" s="148">
        <v>-20.399999999999999</v>
      </c>
      <c r="H200" s="149">
        <v>-20.399999999999999</v>
      </c>
    </row>
    <row r="201" spans="2:8" ht="15" customHeight="1" x14ac:dyDescent="0.2">
      <c r="B201" s="141" t="s">
        <v>173</v>
      </c>
      <c r="C201" s="148">
        <v>-0.9</v>
      </c>
      <c r="D201" s="148">
        <v>-0.9</v>
      </c>
      <c r="E201" s="148">
        <v>-0.9</v>
      </c>
      <c r="F201" s="148">
        <v>-0.9</v>
      </c>
      <c r="G201" s="148">
        <v>-1.1000000000000001</v>
      </c>
      <c r="H201" s="149">
        <v>-1.1000000000000001</v>
      </c>
    </row>
    <row r="202" spans="2:8" ht="15.75" thickBot="1" x14ac:dyDescent="0.25">
      <c r="B202" s="150"/>
      <c r="C202" s="111"/>
      <c r="D202" s="111"/>
      <c r="E202" s="111"/>
      <c r="F202" s="111"/>
      <c r="G202" s="151"/>
      <c r="H202" s="152"/>
    </row>
    <row r="203" spans="2:8" ht="17.25" thickTop="1" thickBot="1" x14ac:dyDescent="0.25">
      <c r="B203" s="95" t="s">
        <v>175</v>
      </c>
      <c r="C203" s="153"/>
      <c r="D203" s="153"/>
      <c r="E203" s="153"/>
      <c r="F203" s="153"/>
      <c r="G203" s="153"/>
      <c r="H203" s="154"/>
    </row>
    <row r="204" spans="2:8" ht="15.75" thickTop="1" x14ac:dyDescent="0.2">
      <c r="B204" s="141"/>
      <c r="C204" s="97"/>
      <c r="D204" s="97"/>
      <c r="E204" s="97"/>
      <c r="F204" s="97"/>
      <c r="G204" s="97"/>
      <c r="H204" s="98"/>
    </row>
    <row r="205" spans="2:8" x14ac:dyDescent="0.2">
      <c r="B205" s="141" t="s">
        <v>176</v>
      </c>
      <c r="C205" s="155"/>
      <c r="D205" s="155"/>
      <c r="E205" s="155"/>
      <c r="F205" s="155"/>
      <c r="G205" s="155"/>
      <c r="H205" s="156"/>
    </row>
    <row r="206" spans="2:8" ht="15.75" x14ac:dyDescent="0.2">
      <c r="B206" s="157" t="s">
        <v>177</v>
      </c>
      <c r="C206" s="158">
        <v>166.8</v>
      </c>
      <c r="D206" s="158">
        <v>166.8</v>
      </c>
      <c r="E206" s="158">
        <v>166.8</v>
      </c>
      <c r="F206" s="158">
        <v>166.8</v>
      </c>
      <c r="G206" s="158">
        <v>166.8</v>
      </c>
      <c r="H206" s="159">
        <v>166.8</v>
      </c>
    </row>
    <row r="207" spans="2:8" ht="15.75" x14ac:dyDescent="0.2">
      <c r="B207" s="125" t="s">
        <v>178</v>
      </c>
      <c r="C207" s="160">
        <v>3.5</v>
      </c>
      <c r="D207" s="160">
        <v>3.5</v>
      </c>
      <c r="E207" s="160">
        <v>3.5</v>
      </c>
      <c r="F207" s="160">
        <v>3.5</v>
      </c>
      <c r="G207" s="160">
        <v>3.5</v>
      </c>
      <c r="H207" s="161">
        <v>3.5</v>
      </c>
    </row>
    <row r="208" spans="2:8" x14ac:dyDescent="0.2">
      <c r="B208" s="157" t="s">
        <v>179</v>
      </c>
      <c r="C208" s="158">
        <v>302.39999999999998</v>
      </c>
      <c r="D208" s="158">
        <v>302.39999999999998</v>
      </c>
      <c r="E208" s="158">
        <v>302.39999999999998</v>
      </c>
      <c r="F208" s="158">
        <v>302.39999999999998</v>
      </c>
      <c r="G208" s="158">
        <v>302.39999999999998</v>
      </c>
      <c r="H208" s="159">
        <v>302.39999999999998</v>
      </c>
    </row>
    <row r="209" spans="2:8" ht="15.75" x14ac:dyDescent="0.2">
      <c r="B209" s="157" t="s">
        <v>180</v>
      </c>
      <c r="C209" s="158">
        <v>208800</v>
      </c>
      <c r="D209" s="158">
        <v>208800</v>
      </c>
      <c r="E209" s="158">
        <v>208800</v>
      </c>
      <c r="F209" s="158">
        <v>208800</v>
      </c>
      <c r="G209" s="158">
        <v>208800</v>
      </c>
      <c r="H209" s="159">
        <v>208800</v>
      </c>
    </row>
    <row r="210" spans="2:8" x14ac:dyDescent="0.2">
      <c r="B210" s="157"/>
      <c r="C210" s="162"/>
      <c r="D210" s="86"/>
      <c r="E210" s="86"/>
      <c r="F210" s="162"/>
      <c r="G210" s="162"/>
      <c r="H210" s="163"/>
    </row>
    <row r="211" spans="2:8" x14ac:dyDescent="0.2">
      <c r="B211" s="141" t="s">
        <v>181</v>
      </c>
      <c r="C211" s="162"/>
      <c r="D211" s="86"/>
      <c r="E211" s="86"/>
      <c r="F211" s="162"/>
      <c r="G211" s="162"/>
      <c r="H211" s="163"/>
    </row>
    <row r="212" spans="2:8" ht="15.75" x14ac:dyDescent="0.2">
      <c r="B212" s="157" t="s">
        <v>177</v>
      </c>
      <c r="C212" s="158">
        <v>13.3</v>
      </c>
      <c r="D212" s="158">
        <v>13.3</v>
      </c>
      <c r="E212" s="158">
        <v>13.3</v>
      </c>
      <c r="F212" s="158">
        <v>13.3</v>
      </c>
      <c r="G212" s="158">
        <v>13.3</v>
      </c>
      <c r="H212" s="159">
        <v>13.3</v>
      </c>
    </row>
    <row r="213" spans="2:8" ht="15.75" x14ac:dyDescent="0.2">
      <c r="B213" s="157" t="s">
        <v>178</v>
      </c>
      <c r="C213" s="160">
        <v>3.5</v>
      </c>
      <c r="D213" s="160">
        <v>3.5</v>
      </c>
      <c r="E213" s="160">
        <v>3.5</v>
      </c>
      <c r="F213" s="160">
        <v>3.5</v>
      </c>
      <c r="G213" s="160">
        <v>3.5</v>
      </c>
      <c r="H213" s="161">
        <v>3.5</v>
      </c>
    </row>
    <row r="214" spans="2:8" x14ac:dyDescent="0.2">
      <c r="B214" s="157" t="s">
        <v>179</v>
      </c>
      <c r="C214" s="158">
        <v>6.7</v>
      </c>
      <c r="D214" s="158">
        <v>6.7</v>
      </c>
      <c r="E214" s="158">
        <v>6.7</v>
      </c>
      <c r="F214" s="158">
        <v>6.7</v>
      </c>
      <c r="G214" s="158">
        <v>6.7</v>
      </c>
      <c r="H214" s="159">
        <v>6.7</v>
      </c>
    </row>
    <row r="215" spans="2:8" ht="15.75" x14ac:dyDescent="0.2">
      <c r="B215" s="157" t="s">
        <v>180</v>
      </c>
      <c r="C215" s="158">
        <v>208800</v>
      </c>
      <c r="D215" s="158">
        <v>208800</v>
      </c>
      <c r="E215" s="158">
        <v>208800</v>
      </c>
      <c r="F215" s="158">
        <v>208800</v>
      </c>
      <c r="G215" s="158">
        <v>208800</v>
      </c>
      <c r="H215" s="159">
        <v>208800</v>
      </c>
    </row>
    <row r="216" spans="2:8" ht="15.75" thickBot="1" x14ac:dyDescent="0.25">
      <c r="B216" s="141"/>
      <c r="C216" s="164"/>
      <c r="D216" s="164"/>
      <c r="E216" s="164"/>
      <c r="F216" s="164"/>
      <c r="G216" s="164"/>
      <c r="H216" s="165"/>
    </row>
    <row r="217" spans="2:8" ht="17.25" thickTop="1" thickBot="1" x14ac:dyDescent="0.25">
      <c r="B217" s="95" t="s">
        <v>182</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176</v>
      </c>
      <c r="C219" s="170"/>
      <c r="D219" s="171"/>
      <c r="E219" s="171"/>
      <c r="F219" s="171"/>
      <c r="G219" s="171"/>
      <c r="H219" s="172"/>
    </row>
    <row r="220" spans="2:8" ht="15.75" x14ac:dyDescent="0.2">
      <c r="B220" s="157" t="s">
        <v>177</v>
      </c>
      <c r="C220" s="158">
        <v>278</v>
      </c>
      <c r="D220" s="158">
        <v>278</v>
      </c>
      <c r="E220" s="158">
        <v>278</v>
      </c>
      <c r="F220" s="158">
        <v>278</v>
      </c>
      <c r="G220" s="158">
        <v>278</v>
      </c>
      <c r="H220" s="159">
        <v>278</v>
      </c>
    </row>
    <row r="221" spans="2:8" ht="15.75" x14ac:dyDescent="0.2">
      <c r="B221" s="125" t="s">
        <v>178</v>
      </c>
      <c r="C221" s="160">
        <v>2.6</v>
      </c>
      <c r="D221" s="160">
        <v>2.6</v>
      </c>
      <c r="E221" s="160">
        <v>2.6</v>
      </c>
      <c r="F221" s="160">
        <v>2.6</v>
      </c>
      <c r="G221" s="160">
        <v>2.6</v>
      </c>
      <c r="H221" s="161">
        <v>2.6</v>
      </c>
    </row>
    <row r="222" spans="2:8" ht="18.600000000000001" customHeight="1" x14ac:dyDescent="0.2">
      <c r="B222" s="157" t="s">
        <v>179</v>
      </c>
      <c r="C222" s="158">
        <v>81.400000000000006</v>
      </c>
      <c r="D222" s="158">
        <v>81.400000000000006</v>
      </c>
      <c r="E222" s="158">
        <v>81.400000000000006</v>
      </c>
      <c r="F222" s="158">
        <v>81.400000000000006</v>
      </c>
      <c r="G222" s="158">
        <v>81.400000000000006</v>
      </c>
      <c r="H222" s="159">
        <v>81.400000000000006</v>
      </c>
    </row>
    <row r="223" spans="2:8" ht="15.75" x14ac:dyDescent="0.2">
      <c r="B223" s="157" t="s">
        <v>180</v>
      </c>
      <c r="C223" s="158">
        <v>278400</v>
      </c>
      <c r="D223" s="158">
        <v>278400</v>
      </c>
      <c r="E223" s="158">
        <v>278400</v>
      </c>
      <c r="F223" s="158">
        <v>278400</v>
      </c>
      <c r="G223" s="158">
        <v>278400</v>
      </c>
      <c r="H223" s="159">
        <v>278400</v>
      </c>
    </row>
    <row r="224" spans="2:8" x14ac:dyDescent="0.2">
      <c r="B224" s="157"/>
      <c r="C224" s="198"/>
      <c r="D224" s="199"/>
      <c r="E224" s="199"/>
      <c r="F224" s="199"/>
      <c r="G224" s="200"/>
      <c r="H224" s="201"/>
    </row>
    <row r="225" spans="2:8" x14ac:dyDescent="0.2">
      <c r="B225" s="141" t="s">
        <v>181</v>
      </c>
      <c r="C225" s="162"/>
      <c r="D225" s="86"/>
      <c r="E225" s="86"/>
      <c r="F225" s="162"/>
      <c r="G225" s="162"/>
      <c r="H225" s="163"/>
    </row>
    <row r="226" spans="2:8" ht="15.75" x14ac:dyDescent="0.2">
      <c r="B226" s="157" t="s">
        <v>177</v>
      </c>
      <c r="C226" s="158">
        <v>41.7</v>
      </c>
      <c r="D226" s="158">
        <v>41.7</v>
      </c>
      <c r="E226" s="158">
        <v>41.7</v>
      </c>
      <c r="F226" s="158">
        <v>41.7</v>
      </c>
      <c r="G226" s="158">
        <v>41.7</v>
      </c>
      <c r="H226" s="159">
        <v>41.7</v>
      </c>
    </row>
    <row r="227" spans="2:8" ht="15.75" x14ac:dyDescent="0.2">
      <c r="B227" s="157" t="s">
        <v>178</v>
      </c>
      <c r="C227" s="160">
        <v>2.6</v>
      </c>
      <c r="D227" s="160">
        <v>2.6</v>
      </c>
      <c r="E227" s="160">
        <v>2.6</v>
      </c>
      <c r="F227" s="160">
        <v>2.6</v>
      </c>
      <c r="G227" s="160">
        <v>2.6</v>
      </c>
      <c r="H227" s="161">
        <v>2.6</v>
      </c>
    </row>
    <row r="228" spans="2:8" x14ac:dyDescent="0.2">
      <c r="B228" s="157" t="s">
        <v>179</v>
      </c>
      <c r="C228" s="158">
        <v>12.2</v>
      </c>
      <c r="D228" s="158">
        <v>12.2</v>
      </c>
      <c r="E228" s="158">
        <v>12.2</v>
      </c>
      <c r="F228" s="158">
        <v>12.2</v>
      </c>
      <c r="G228" s="158">
        <v>12.2</v>
      </c>
      <c r="H228" s="159">
        <v>12.2</v>
      </c>
    </row>
    <row r="229" spans="2:8" ht="15.75" x14ac:dyDescent="0.2">
      <c r="B229" s="157" t="s">
        <v>180</v>
      </c>
      <c r="C229" s="158">
        <v>278400</v>
      </c>
      <c r="D229" s="158">
        <v>278400</v>
      </c>
      <c r="E229" s="158">
        <v>278400</v>
      </c>
      <c r="F229" s="158">
        <v>278400</v>
      </c>
      <c r="G229" s="158">
        <v>278400</v>
      </c>
      <c r="H229" s="159">
        <v>278400</v>
      </c>
    </row>
    <row r="230" spans="2:8" ht="15.75" thickBot="1" x14ac:dyDescent="0.25">
      <c r="B230" s="173"/>
      <c r="C230" s="174"/>
      <c r="D230" s="174"/>
      <c r="E230" s="174"/>
      <c r="F230" s="174"/>
      <c r="G230" s="174"/>
      <c r="H230" s="175"/>
    </row>
    <row r="231" spans="2:8" ht="16.5" thickTop="1" x14ac:dyDescent="0.2">
      <c r="B231" s="176" t="s">
        <v>183</v>
      </c>
      <c r="C231" s="177"/>
      <c r="D231" s="177"/>
      <c r="E231" s="177"/>
      <c r="F231" s="177"/>
      <c r="G231" s="177"/>
      <c r="H231" s="178"/>
    </row>
    <row r="232" spans="2:8" s="179" customFormat="1" x14ac:dyDescent="0.2">
      <c r="B232" s="78" t="s">
        <v>184</v>
      </c>
      <c r="C232" s="180"/>
      <c r="D232" s="180"/>
      <c r="E232" s="180"/>
      <c r="F232" s="180"/>
      <c r="G232" s="180"/>
      <c r="H232" s="181"/>
    </row>
    <row r="233" spans="2:8" s="179" customFormat="1" x14ac:dyDescent="0.2">
      <c r="B233" s="78" t="s">
        <v>185</v>
      </c>
      <c r="C233" s="180"/>
      <c r="D233" s="180"/>
      <c r="E233" s="180"/>
      <c r="F233" s="180"/>
      <c r="G233" s="180"/>
      <c r="H233" s="181"/>
    </row>
    <row r="234" spans="2:8" s="179" customFormat="1" ht="15" customHeight="1" x14ac:dyDescent="0.2">
      <c r="B234" s="182" t="s">
        <v>186</v>
      </c>
      <c r="C234" s="183"/>
      <c r="D234" s="183"/>
      <c r="E234" s="183"/>
      <c r="F234" s="183"/>
      <c r="G234" s="183"/>
      <c r="H234" s="184"/>
    </row>
    <row r="235" spans="2:8" s="179" customFormat="1" ht="15" customHeight="1" x14ac:dyDescent="0.2">
      <c r="B235" s="182" t="s">
        <v>187</v>
      </c>
      <c r="C235" s="183"/>
      <c r="D235" s="183"/>
      <c r="E235" s="183"/>
      <c r="F235" s="183"/>
      <c r="G235" s="183"/>
      <c r="H235" s="184"/>
    </row>
    <row r="236" spans="2:8" s="179" customFormat="1" ht="15" hidden="1" customHeight="1" x14ac:dyDescent="0.2">
      <c r="B236" s="185"/>
      <c r="C236" s="183"/>
      <c r="D236" s="183"/>
      <c r="E236" s="183"/>
      <c r="F236" s="183"/>
      <c r="G236" s="183"/>
      <c r="H236" s="184"/>
    </row>
    <row r="237" spans="2:8" s="179" customFormat="1" x14ac:dyDescent="0.2">
      <c r="B237" s="78" t="s">
        <v>209</v>
      </c>
      <c r="C237" s="180"/>
      <c r="D237" s="180"/>
      <c r="E237" s="180"/>
      <c r="F237" s="180"/>
      <c r="G237" s="180"/>
      <c r="H237" s="181"/>
    </row>
    <row r="238" spans="2:8" s="179" customFormat="1" x14ac:dyDescent="0.2">
      <c r="B238" s="78" t="s">
        <v>189</v>
      </c>
      <c r="C238" s="180"/>
      <c r="D238" s="180"/>
      <c r="E238" s="180"/>
      <c r="F238" s="180"/>
      <c r="G238" s="180"/>
      <c r="H238" s="181"/>
    </row>
    <row r="239" spans="2:8" s="179" customFormat="1" x14ac:dyDescent="0.2">
      <c r="B239" s="78" t="s">
        <v>190</v>
      </c>
      <c r="C239" s="180"/>
      <c r="D239" s="180"/>
      <c r="E239" s="180"/>
      <c r="F239" s="180"/>
      <c r="G239" s="180"/>
      <c r="H239" s="181"/>
    </row>
    <row r="240" spans="2:8" s="179" customFormat="1" ht="15" customHeight="1" x14ac:dyDescent="0.2">
      <c r="B240" s="182" t="s">
        <v>191</v>
      </c>
      <c r="C240" s="183"/>
      <c r="D240" s="183"/>
      <c r="E240" s="183"/>
      <c r="F240" s="183"/>
      <c r="G240" s="183"/>
      <c r="H240" s="184"/>
    </row>
    <row r="241" spans="2:8" s="179" customFormat="1" x14ac:dyDescent="0.2">
      <c r="B241" s="78" t="s">
        <v>192</v>
      </c>
      <c r="C241" s="183"/>
      <c r="D241" s="183"/>
      <c r="E241" s="183"/>
      <c r="F241" s="183"/>
      <c r="G241" s="183"/>
      <c r="H241" s="184"/>
    </row>
    <row r="242" spans="2:8" s="179" customFormat="1" x14ac:dyDescent="0.2">
      <c r="B242" s="78" t="s">
        <v>193</v>
      </c>
      <c r="C242" s="180"/>
      <c r="D242" s="180"/>
      <c r="E242" s="180"/>
      <c r="F242" s="180"/>
      <c r="G242" s="180"/>
      <c r="H242" s="181"/>
    </row>
    <row r="243" spans="2:8" s="179" customFormat="1" x14ac:dyDescent="0.2">
      <c r="B243" s="78" t="s">
        <v>194</v>
      </c>
      <c r="C243" s="180"/>
      <c r="D243" s="180"/>
      <c r="E243" s="180"/>
      <c r="F243" s="180"/>
      <c r="G243" s="180"/>
      <c r="H243" s="181"/>
    </row>
    <row r="244" spans="2:8" s="179" customFormat="1" x14ac:dyDescent="0.2">
      <c r="B244" s="78" t="s">
        <v>195</v>
      </c>
      <c r="C244" s="180"/>
      <c r="D244" s="180"/>
      <c r="E244" s="180"/>
      <c r="F244" s="180"/>
      <c r="G244" s="180"/>
      <c r="H244" s="181"/>
    </row>
    <row r="245" spans="2:8" s="179" customFormat="1" x14ac:dyDescent="0.2">
      <c r="B245" s="78" t="s">
        <v>196</v>
      </c>
      <c r="C245" s="180"/>
      <c r="D245" s="180"/>
      <c r="E245" s="180"/>
      <c r="F245" s="180"/>
      <c r="G245" s="180"/>
      <c r="H245" s="181"/>
    </row>
    <row r="246" spans="2:8" ht="15.75" thickBot="1" x14ac:dyDescent="0.25">
      <c r="B246" s="110"/>
      <c r="C246" s="186"/>
      <c r="D246" s="186"/>
      <c r="E246" s="186"/>
      <c r="F246" s="186"/>
      <c r="G246" s="186"/>
      <c r="H246" s="187"/>
    </row>
    <row r="247" spans="2:8" ht="15.75" thickTop="1" x14ac:dyDescent="0.2"/>
  </sheetData>
  <mergeCells count="4">
    <mergeCell ref="B2:H2"/>
    <mergeCell ref="B3:H3"/>
    <mergeCell ref="B4:H4"/>
    <mergeCell ref="B5:H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C247"/>
  <sheetViews>
    <sheetView workbookViewId="0"/>
  </sheetViews>
  <sheetFormatPr defaultColWidth="10.6640625" defaultRowHeight="15" x14ac:dyDescent="0.2"/>
  <cols>
    <col min="1" max="1" width="14.83203125" style="61" customWidth="1"/>
    <col min="2" max="2" width="65.66406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10" t="s">
        <v>76</v>
      </c>
      <c r="C2" s="311"/>
      <c r="D2" s="311"/>
      <c r="E2" s="311"/>
      <c r="F2" s="311"/>
      <c r="G2" s="311"/>
      <c r="H2" s="312"/>
    </row>
    <row r="3" spans="2:8" ht="15.75" x14ac:dyDescent="0.2">
      <c r="B3" s="313" t="s">
        <v>200</v>
      </c>
      <c r="C3" s="314"/>
      <c r="D3" s="314"/>
      <c r="E3" s="314"/>
      <c r="F3" s="314"/>
      <c r="G3" s="314"/>
      <c r="H3" s="315"/>
    </row>
    <row r="4" spans="2:8" ht="15.75" x14ac:dyDescent="0.2">
      <c r="B4" s="316" t="s">
        <v>78</v>
      </c>
      <c r="C4" s="317"/>
      <c r="D4" s="317"/>
      <c r="E4" s="317"/>
      <c r="F4" s="317"/>
      <c r="G4" s="317"/>
      <c r="H4" s="318"/>
    </row>
    <row r="5" spans="2:8" ht="16.5" thickBot="1" x14ac:dyDescent="0.25">
      <c r="B5" s="319" t="s">
        <v>350</v>
      </c>
      <c r="C5" s="320"/>
      <c r="D5" s="320"/>
      <c r="E5" s="320"/>
      <c r="F5" s="320"/>
      <c r="G5" s="320"/>
      <c r="H5" s="321"/>
    </row>
    <row r="6" spans="2:8" ht="48.6" customHeight="1" thickTop="1" thickBot="1" x14ac:dyDescent="0.25">
      <c r="B6" s="65" t="s">
        <v>79</v>
      </c>
      <c r="C6" s="66" t="s">
        <v>65</v>
      </c>
      <c r="D6" s="66" t="s">
        <v>64</v>
      </c>
      <c r="E6" s="66" t="s">
        <v>62</v>
      </c>
      <c r="F6" s="66" t="s">
        <v>63</v>
      </c>
      <c r="G6" s="66" t="s">
        <v>61</v>
      </c>
      <c r="H6" s="67" t="s">
        <v>60</v>
      </c>
    </row>
    <row r="7" spans="2:8" ht="15.6" customHeight="1" thickTop="1" thickBot="1" x14ac:dyDescent="0.25">
      <c r="B7" s="68" t="s">
        <v>80</v>
      </c>
      <c r="C7" s="69"/>
      <c r="D7" s="69"/>
      <c r="E7" s="69"/>
      <c r="F7" s="69"/>
      <c r="G7" s="70"/>
      <c r="H7" s="71"/>
    </row>
    <row r="8" spans="2:8" ht="15.75" thickTop="1" x14ac:dyDescent="0.2">
      <c r="B8" s="72" t="s">
        <v>81</v>
      </c>
      <c r="C8" s="73">
        <v>1</v>
      </c>
      <c r="D8" s="73">
        <v>1</v>
      </c>
      <c r="E8" s="73">
        <v>1</v>
      </c>
      <c r="F8" s="73">
        <v>1</v>
      </c>
      <c r="G8" s="73">
        <v>1</v>
      </c>
      <c r="H8" s="74">
        <v>1</v>
      </c>
    </row>
    <row r="9" spans="2:8" x14ac:dyDescent="0.2">
      <c r="B9" s="75" t="s">
        <v>82</v>
      </c>
      <c r="C9" s="76" t="s">
        <v>201</v>
      </c>
      <c r="D9" s="76" t="s">
        <v>201</v>
      </c>
      <c r="E9" s="76" t="s">
        <v>201</v>
      </c>
      <c r="F9" s="76" t="s">
        <v>201</v>
      </c>
      <c r="G9" s="76" t="s">
        <v>201</v>
      </c>
      <c r="H9" s="77" t="s">
        <v>201</v>
      </c>
    </row>
    <row r="10" spans="2:8" ht="15" customHeight="1" x14ac:dyDescent="0.2">
      <c r="B10" s="78" t="s">
        <v>84</v>
      </c>
      <c r="C10" s="79" t="s">
        <v>85</v>
      </c>
      <c r="D10" s="79" t="s">
        <v>85</v>
      </c>
      <c r="E10" s="79" t="s">
        <v>85</v>
      </c>
      <c r="F10" s="79" t="s">
        <v>85</v>
      </c>
      <c r="G10" s="79" t="s">
        <v>85</v>
      </c>
      <c r="H10" s="80" t="s">
        <v>85</v>
      </c>
    </row>
    <row r="11" spans="2:8" ht="15" customHeight="1" x14ac:dyDescent="0.2">
      <c r="B11" s="78" t="s">
        <v>86</v>
      </c>
      <c r="C11" s="79" t="s">
        <v>87</v>
      </c>
      <c r="D11" s="79" t="s">
        <v>87</v>
      </c>
      <c r="E11" s="79" t="s">
        <v>87</v>
      </c>
      <c r="F11" s="79" t="s">
        <v>87</v>
      </c>
      <c r="G11" s="79" t="s">
        <v>87</v>
      </c>
      <c r="H11" s="80" t="s">
        <v>87</v>
      </c>
    </row>
    <row r="12" spans="2:8" ht="15" customHeight="1" x14ac:dyDescent="0.2">
      <c r="B12" s="78" t="s">
        <v>88</v>
      </c>
      <c r="C12" s="79">
        <v>45</v>
      </c>
      <c r="D12" s="79">
        <v>45</v>
      </c>
      <c r="E12" s="79">
        <v>45</v>
      </c>
      <c r="F12" s="79">
        <v>45</v>
      </c>
      <c r="G12" s="79">
        <v>45</v>
      </c>
      <c r="H12" s="80">
        <v>45</v>
      </c>
    </row>
    <row r="13" spans="2:8" hidden="1" x14ac:dyDescent="0.2">
      <c r="B13" s="78"/>
      <c r="C13" s="81"/>
      <c r="D13" s="81"/>
      <c r="E13" s="81"/>
      <c r="F13" s="81"/>
      <c r="G13" s="81"/>
      <c r="H13" s="82"/>
    </row>
    <row r="14" spans="2:8" hidden="1" x14ac:dyDescent="0.2">
      <c r="B14" s="78"/>
      <c r="C14" s="79"/>
      <c r="D14" s="79"/>
      <c r="E14" s="79"/>
      <c r="F14" s="79"/>
      <c r="G14" s="79"/>
      <c r="H14" s="80"/>
    </row>
    <row r="15" spans="2:8" hidden="1" x14ac:dyDescent="0.2">
      <c r="B15" s="78"/>
      <c r="C15" s="83"/>
      <c r="D15" s="83"/>
      <c r="E15" s="83"/>
      <c r="F15" s="83"/>
      <c r="G15" s="83"/>
      <c r="H15" s="84"/>
    </row>
    <row r="16" spans="2:8" x14ac:dyDescent="0.2">
      <c r="B16" s="85" t="s">
        <v>89</v>
      </c>
      <c r="C16" s="83">
        <v>4.3400000000000001E-2</v>
      </c>
      <c r="D16" s="83">
        <v>4.3400000000000001E-2</v>
      </c>
      <c r="E16" s="83">
        <v>4.3400000000000001E-2</v>
      </c>
      <c r="F16" s="83">
        <v>4.3400000000000001E-2</v>
      </c>
      <c r="G16" s="83">
        <v>4.3400000000000001E-2</v>
      </c>
      <c r="H16" s="84">
        <v>4.3400000000000001E-2</v>
      </c>
    </row>
    <row r="17" spans="2:8" hidden="1" x14ac:dyDescent="0.2">
      <c r="B17" s="85"/>
      <c r="C17" s="83"/>
      <c r="D17" s="83"/>
      <c r="E17" s="83"/>
      <c r="F17" s="83"/>
      <c r="G17" s="83"/>
      <c r="H17" s="84"/>
    </row>
    <row r="18" spans="2:8" x14ac:dyDescent="0.2">
      <c r="B18" s="85" t="s">
        <v>90</v>
      </c>
      <c r="C18" s="86">
        <v>15</v>
      </c>
      <c r="D18" s="86">
        <v>15</v>
      </c>
      <c r="E18" s="86">
        <v>15</v>
      </c>
      <c r="F18" s="86">
        <v>15</v>
      </c>
      <c r="G18" s="86">
        <v>15</v>
      </c>
      <c r="H18" s="87">
        <v>15</v>
      </c>
    </row>
    <row r="19" spans="2:8" ht="15" customHeight="1" x14ac:dyDescent="0.2">
      <c r="B19" s="78" t="s">
        <v>91</v>
      </c>
      <c r="C19" s="88" t="s">
        <v>92</v>
      </c>
      <c r="D19" s="88" t="s">
        <v>92</v>
      </c>
      <c r="E19" s="88" t="s">
        <v>92</v>
      </c>
      <c r="F19" s="88" t="s">
        <v>92</v>
      </c>
      <c r="G19" s="88" t="s">
        <v>92</v>
      </c>
      <c r="H19" s="89" t="s">
        <v>92</v>
      </c>
    </row>
    <row r="20" spans="2:8" ht="15" customHeight="1" x14ac:dyDescent="0.2">
      <c r="B20" s="78" t="s">
        <v>93</v>
      </c>
      <c r="C20" s="88" t="s">
        <v>94</v>
      </c>
      <c r="D20" s="88" t="s">
        <v>94</v>
      </c>
      <c r="E20" s="88" t="s">
        <v>94</v>
      </c>
      <c r="F20" s="88" t="s">
        <v>94</v>
      </c>
      <c r="G20" s="88" t="s">
        <v>94</v>
      </c>
      <c r="H20" s="89" t="s">
        <v>94</v>
      </c>
    </row>
    <row r="21" spans="2:8" ht="15" customHeight="1" x14ac:dyDescent="0.2">
      <c r="B21" s="75" t="s">
        <v>95</v>
      </c>
      <c r="C21" s="90" t="s">
        <v>96</v>
      </c>
      <c r="D21" s="90" t="s">
        <v>96</v>
      </c>
      <c r="E21" s="90" t="s">
        <v>96</v>
      </c>
      <c r="F21" s="90" t="s">
        <v>96</v>
      </c>
      <c r="G21" s="90" t="s">
        <v>96</v>
      </c>
      <c r="H21" s="91" t="s">
        <v>96</v>
      </c>
    </row>
    <row r="22" spans="2:8" ht="30" x14ac:dyDescent="0.2">
      <c r="B22" s="85" t="s">
        <v>97</v>
      </c>
      <c r="C22" s="88" t="s">
        <v>355</v>
      </c>
      <c r="D22" s="88" t="s">
        <v>355</v>
      </c>
      <c r="E22" s="88" t="s">
        <v>355</v>
      </c>
      <c r="F22" s="88" t="s">
        <v>355</v>
      </c>
      <c r="G22" s="88" t="s">
        <v>355</v>
      </c>
      <c r="H22" s="89" t="s">
        <v>355</v>
      </c>
    </row>
    <row r="23" spans="2:8" ht="15" customHeight="1" x14ac:dyDescent="0.2">
      <c r="B23" s="85" t="s">
        <v>99</v>
      </c>
      <c r="C23" s="88" t="s">
        <v>100</v>
      </c>
      <c r="D23" s="88" t="s">
        <v>100</v>
      </c>
      <c r="E23" s="88" t="s">
        <v>100</v>
      </c>
      <c r="F23" s="88" t="s">
        <v>100</v>
      </c>
      <c r="G23" s="88" t="s">
        <v>100</v>
      </c>
      <c r="H23" s="89" t="s">
        <v>100</v>
      </c>
    </row>
    <row r="24" spans="2:8" ht="15" customHeight="1" x14ac:dyDescent="0.2">
      <c r="B24" s="75" t="s">
        <v>101</v>
      </c>
      <c r="C24" s="90" t="s">
        <v>102</v>
      </c>
      <c r="D24" s="90" t="s">
        <v>102</v>
      </c>
      <c r="E24" s="90" t="s">
        <v>102</v>
      </c>
      <c r="F24" s="90" t="s">
        <v>102</v>
      </c>
      <c r="G24" s="90" t="s">
        <v>102</v>
      </c>
      <c r="H24" s="91" t="s">
        <v>102</v>
      </c>
    </row>
    <row r="25" spans="2:8" x14ac:dyDescent="0.2">
      <c r="B25" s="75" t="s">
        <v>103</v>
      </c>
      <c r="C25" s="92">
        <v>345</v>
      </c>
      <c r="D25" s="92">
        <v>345</v>
      </c>
      <c r="E25" s="92">
        <v>345</v>
      </c>
      <c r="F25" s="92">
        <v>345</v>
      </c>
      <c r="G25" s="92">
        <v>345</v>
      </c>
      <c r="H25" s="93">
        <v>138</v>
      </c>
    </row>
    <row r="26" spans="2:8" ht="15" customHeight="1" x14ac:dyDescent="0.2">
      <c r="B26" s="75" t="s">
        <v>104</v>
      </c>
      <c r="C26" s="90" t="s">
        <v>105</v>
      </c>
      <c r="D26" s="90" t="s">
        <v>105</v>
      </c>
      <c r="E26" s="90" t="s">
        <v>105</v>
      </c>
      <c r="F26" s="90" t="s">
        <v>105</v>
      </c>
      <c r="G26" s="90" t="s">
        <v>105</v>
      </c>
      <c r="H26" s="91" t="s">
        <v>105</v>
      </c>
    </row>
    <row r="27" spans="2:8" ht="15" customHeight="1" x14ac:dyDescent="0.2">
      <c r="B27" s="75" t="s">
        <v>106</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107</v>
      </c>
      <c r="C29" s="70"/>
      <c r="D29" s="70"/>
      <c r="E29" s="70"/>
      <c r="F29" s="70"/>
      <c r="G29" s="70"/>
      <c r="H29" s="71"/>
    </row>
    <row r="30" spans="2:8" ht="15.75" thickTop="1" x14ac:dyDescent="0.2">
      <c r="B30" s="96"/>
      <c r="C30" s="97"/>
      <c r="D30" s="97"/>
      <c r="E30" s="97"/>
      <c r="F30" s="97"/>
      <c r="G30" s="97"/>
      <c r="H30" s="98"/>
    </row>
    <row r="31" spans="2:8" x14ac:dyDescent="0.2">
      <c r="B31" s="78" t="s">
        <v>108</v>
      </c>
      <c r="C31" s="99"/>
      <c r="D31" s="99"/>
      <c r="E31" s="99"/>
      <c r="F31" s="99"/>
      <c r="G31" s="99"/>
      <c r="H31" s="100"/>
    </row>
    <row r="32" spans="2:8" x14ac:dyDescent="0.2">
      <c r="B32" s="101" t="s">
        <v>109</v>
      </c>
      <c r="C32" s="102">
        <v>77.7</v>
      </c>
      <c r="D32" s="102">
        <v>78.099999999999994</v>
      </c>
      <c r="E32" s="102">
        <v>78.900000000000006</v>
      </c>
      <c r="F32" s="102">
        <v>79.900000000000006</v>
      </c>
      <c r="G32" s="102">
        <v>81.099999999999994</v>
      </c>
      <c r="H32" s="103">
        <v>78</v>
      </c>
    </row>
    <row r="33" spans="2:8" x14ac:dyDescent="0.2">
      <c r="B33" s="101" t="s">
        <v>110</v>
      </c>
      <c r="C33" s="104">
        <v>0.46899999999999997</v>
      </c>
      <c r="D33" s="104">
        <v>0.48</v>
      </c>
      <c r="E33" s="104">
        <v>0.51</v>
      </c>
      <c r="F33" s="104">
        <v>0.48200000000000004</v>
      </c>
      <c r="G33" s="104">
        <v>0.41199999999999998</v>
      </c>
      <c r="H33" s="105">
        <v>0.52700000000000002</v>
      </c>
    </row>
    <row r="34" spans="2:8" x14ac:dyDescent="0.2">
      <c r="B34" s="101" t="s">
        <v>67</v>
      </c>
      <c r="C34" s="99">
        <v>214300</v>
      </c>
      <c r="D34" s="99">
        <v>215200</v>
      </c>
      <c r="E34" s="99">
        <v>215500</v>
      </c>
      <c r="F34" s="99">
        <v>215400</v>
      </c>
      <c r="G34" s="99">
        <v>216900</v>
      </c>
      <c r="H34" s="100">
        <v>216700</v>
      </c>
    </row>
    <row r="35" spans="2:8" x14ac:dyDescent="0.2">
      <c r="B35" s="101" t="s">
        <v>71</v>
      </c>
      <c r="C35" s="99">
        <v>10210</v>
      </c>
      <c r="D35" s="99">
        <v>10220</v>
      </c>
      <c r="E35" s="99">
        <v>10230</v>
      </c>
      <c r="F35" s="99">
        <v>10230</v>
      </c>
      <c r="G35" s="99">
        <v>10220</v>
      </c>
      <c r="H35" s="100">
        <v>10230</v>
      </c>
    </row>
    <row r="36" spans="2:8" x14ac:dyDescent="0.2">
      <c r="B36" s="101" t="s">
        <v>111</v>
      </c>
      <c r="C36" s="99">
        <v>2220</v>
      </c>
      <c r="D36" s="99">
        <v>2200</v>
      </c>
      <c r="E36" s="99">
        <v>2200</v>
      </c>
      <c r="F36" s="99">
        <v>2200</v>
      </c>
      <c r="G36" s="99">
        <v>2220</v>
      </c>
      <c r="H36" s="100">
        <v>2220</v>
      </c>
    </row>
    <row r="37" spans="2:8" ht="15" customHeight="1" x14ac:dyDescent="0.2">
      <c r="B37" s="78"/>
      <c r="C37" s="99"/>
      <c r="D37" s="99"/>
      <c r="E37" s="99"/>
      <c r="F37" s="99"/>
      <c r="G37" s="99"/>
      <c r="H37" s="100"/>
    </row>
    <row r="38" spans="2:8" x14ac:dyDescent="0.2">
      <c r="B38" s="101" t="s">
        <v>112</v>
      </c>
      <c r="C38" s="99">
        <v>90700</v>
      </c>
      <c r="D38" s="99">
        <v>91100</v>
      </c>
      <c r="E38" s="99">
        <v>91300</v>
      </c>
      <c r="F38" s="99">
        <v>91100</v>
      </c>
      <c r="G38" s="99">
        <v>91300</v>
      </c>
      <c r="H38" s="100">
        <v>92000</v>
      </c>
    </row>
    <row r="39" spans="2:8" x14ac:dyDescent="0.2">
      <c r="B39" s="101" t="s">
        <v>113</v>
      </c>
      <c r="C39" s="99">
        <v>13520</v>
      </c>
      <c r="D39" s="99">
        <v>13530</v>
      </c>
      <c r="E39" s="99">
        <v>13560</v>
      </c>
      <c r="F39" s="99">
        <v>13580</v>
      </c>
      <c r="G39" s="99">
        <v>13580</v>
      </c>
      <c r="H39" s="100">
        <v>13530</v>
      </c>
    </row>
    <row r="40" spans="2:8" x14ac:dyDescent="0.2">
      <c r="B40" s="101" t="s">
        <v>114</v>
      </c>
      <c r="C40" s="99">
        <v>1240</v>
      </c>
      <c r="D40" s="99">
        <v>1230</v>
      </c>
      <c r="E40" s="99">
        <v>1240</v>
      </c>
      <c r="F40" s="99">
        <v>1240</v>
      </c>
      <c r="G40" s="99">
        <v>1240</v>
      </c>
      <c r="H40" s="100">
        <v>1240</v>
      </c>
    </row>
    <row r="41" spans="2:8" x14ac:dyDescent="0.2">
      <c r="B41" s="78"/>
      <c r="C41" s="99"/>
      <c r="D41" s="99"/>
      <c r="E41" s="99"/>
      <c r="F41" s="99"/>
      <c r="G41" s="99"/>
      <c r="H41" s="100"/>
    </row>
    <row r="42" spans="2:8" x14ac:dyDescent="0.2">
      <c r="B42" s="78"/>
      <c r="C42" s="99"/>
      <c r="D42" s="99"/>
      <c r="E42" s="99"/>
      <c r="F42" s="99"/>
      <c r="G42" s="99"/>
      <c r="H42" s="106"/>
    </row>
    <row r="43" spans="2:8" x14ac:dyDescent="0.2">
      <c r="B43" s="78" t="s">
        <v>115</v>
      </c>
      <c r="C43" s="99"/>
      <c r="D43" s="99"/>
      <c r="E43" s="99"/>
      <c r="F43" s="99"/>
      <c r="G43" s="99"/>
      <c r="H43" s="100"/>
    </row>
    <row r="44" spans="2:8" x14ac:dyDescent="0.2">
      <c r="B44" s="101" t="s">
        <v>109</v>
      </c>
      <c r="C44" s="102">
        <v>28.4</v>
      </c>
      <c r="D44" s="102">
        <v>29.2</v>
      </c>
      <c r="E44" s="102">
        <v>32.6</v>
      </c>
      <c r="F44" s="102">
        <v>33.200000000000003</v>
      </c>
      <c r="G44" s="102">
        <v>38.1</v>
      </c>
      <c r="H44" s="103">
        <v>35.9</v>
      </c>
    </row>
    <row r="45" spans="2:8" x14ac:dyDescent="0.2">
      <c r="B45" s="101" t="s">
        <v>110</v>
      </c>
      <c r="C45" s="104">
        <v>0.72799999999999998</v>
      </c>
      <c r="D45" s="104">
        <v>0.68299999999999994</v>
      </c>
      <c r="E45" s="104">
        <v>0.66900000000000004</v>
      </c>
      <c r="F45" s="104">
        <v>0.65400000000000003</v>
      </c>
      <c r="G45" s="104">
        <v>0.55000000000000004</v>
      </c>
      <c r="H45" s="105">
        <v>0.622</v>
      </c>
    </row>
    <row r="46" spans="2:8" ht="15" customHeight="1" x14ac:dyDescent="0.2">
      <c r="B46" s="101" t="s">
        <v>67</v>
      </c>
      <c r="C46" s="99">
        <v>225400</v>
      </c>
      <c r="D46" s="99">
        <v>226500</v>
      </c>
      <c r="E46" s="99">
        <v>226900</v>
      </c>
      <c r="F46" s="99">
        <v>226800</v>
      </c>
      <c r="G46" s="99">
        <v>227300</v>
      </c>
      <c r="H46" s="100">
        <v>227700</v>
      </c>
    </row>
    <row r="47" spans="2:8" ht="15" customHeight="1" x14ac:dyDescent="0.2">
      <c r="B47" s="101" t="s">
        <v>71</v>
      </c>
      <c r="C47" s="99">
        <v>9870</v>
      </c>
      <c r="D47" s="99">
        <v>9870</v>
      </c>
      <c r="E47" s="99">
        <v>9880</v>
      </c>
      <c r="F47" s="99">
        <v>9880</v>
      </c>
      <c r="G47" s="99">
        <v>9890</v>
      </c>
      <c r="H47" s="100">
        <v>9880</v>
      </c>
    </row>
    <row r="48" spans="2:8" ht="15" customHeight="1" x14ac:dyDescent="0.2">
      <c r="B48" s="101" t="s">
        <v>111</v>
      </c>
      <c r="C48" s="99">
        <v>2250</v>
      </c>
      <c r="D48" s="99">
        <v>2230</v>
      </c>
      <c r="E48" s="99">
        <v>2240</v>
      </c>
      <c r="F48" s="99">
        <v>2240</v>
      </c>
      <c r="G48" s="99">
        <v>2250</v>
      </c>
      <c r="H48" s="100">
        <v>2250</v>
      </c>
    </row>
    <row r="49" spans="2:8" ht="15" customHeight="1" x14ac:dyDescent="0.2">
      <c r="B49" s="78"/>
      <c r="C49" s="99"/>
      <c r="D49" s="99"/>
      <c r="E49" s="99"/>
      <c r="F49" s="99"/>
      <c r="G49" s="99"/>
      <c r="H49" s="100"/>
    </row>
    <row r="50" spans="2:8" ht="15" customHeight="1" x14ac:dyDescent="0.2">
      <c r="B50" s="101" t="s">
        <v>112</v>
      </c>
      <c r="C50" s="99">
        <v>93500</v>
      </c>
      <c r="D50" s="99">
        <v>94000</v>
      </c>
      <c r="E50" s="99">
        <v>94200</v>
      </c>
      <c r="F50" s="99">
        <v>94100</v>
      </c>
      <c r="G50" s="99">
        <v>94300</v>
      </c>
      <c r="H50" s="100">
        <v>94500</v>
      </c>
    </row>
    <row r="51" spans="2:8" x14ac:dyDescent="0.2">
      <c r="B51" s="101" t="s">
        <v>113</v>
      </c>
      <c r="C51" s="99">
        <v>13630</v>
      </c>
      <c r="D51" s="99">
        <v>13630</v>
      </c>
      <c r="E51" s="99">
        <v>13620</v>
      </c>
      <c r="F51" s="99">
        <v>13620</v>
      </c>
      <c r="G51" s="99">
        <v>13620</v>
      </c>
      <c r="H51" s="100">
        <v>13620</v>
      </c>
    </row>
    <row r="52" spans="2:8" x14ac:dyDescent="0.2">
      <c r="B52" s="101" t="s">
        <v>114</v>
      </c>
      <c r="C52" s="99">
        <v>1290</v>
      </c>
      <c r="D52" s="99">
        <v>1280</v>
      </c>
      <c r="E52" s="99">
        <v>1280</v>
      </c>
      <c r="F52" s="99">
        <v>1280</v>
      </c>
      <c r="G52" s="99">
        <v>1280</v>
      </c>
      <c r="H52" s="100">
        <v>1290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116</v>
      </c>
      <c r="C55" s="99"/>
      <c r="D55" s="99"/>
      <c r="E55" s="99"/>
      <c r="F55" s="99"/>
      <c r="G55" s="99"/>
      <c r="H55" s="100"/>
    </row>
    <row r="56" spans="2:8" x14ac:dyDescent="0.2">
      <c r="B56" s="101" t="s">
        <v>109</v>
      </c>
      <c r="C56" s="102">
        <v>59</v>
      </c>
      <c r="D56" s="102">
        <v>59</v>
      </c>
      <c r="E56" s="102">
        <v>59</v>
      </c>
      <c r="F56" s="102">
        <v>59</v>
      </c>
      <c r="G56" s="102">
        <v>59</v>
      </c>
      <c r="H56" s="103">
        <v>59</v>
      </c>
    </row>
    <row r="57" spans="2:8" x14ac:dyDescent="0.2">
      <c r="B57" s="101" t="s">
        <v>110</v>
      </c>
      <c r="C57" s="104">
        <v>0.6</v>
      </c>
      <c r="D57" s="104">
        <v>0.6</v>
      </c>
      <c r="E57" s="104">
        <v>0.6</v>
      </c>
      <c r="F57" s="104">
        <v>0.6</v>
      </c>
      <c r="G57" s="104">
        <v>0.6</v>
      </c>
      <c r="H57" s="105">
        <v>0.6</v>
      </c>
    </row>
    <row r="58" spans="2:8" x14ac:dyDescent="0.2">
      <c r="B58" s="101" t="s">
        <v>67</v>
      </c>
      <c r="C58" s="99">
        <v>219800</v>
      </c>
      <c r="D58" s="99">
        <v>221000</v>
      </c>
      <c r="E58" s="99">
        <v>221900</v>
      </c>
      <c r="F58" s="99">
        <v>221900</v>
      </c>
      <c r="G58" s="99">
        <v>223000</v>
      </c>
      <c r="H58" s="100">
        <v>223100</v>
      </c>
    </row>
    <row r="59" spans="2:8" x14ac:dyDescent="0.2">
      <c r="B59" s="101" t="s">
        <v>71</v>
      </c>
      <c r="C59" s="99">
        <v>10160</v>
      </c>
      <c r="D59" s="99">
        <v>10160</v>
      </c>
      <c r="E59" s="99">
        <v>10160</v>
      </c>
      <c r="F59" s="99">
        <v>10160</v>
      </c>
      <c r="G59" s="99">
        <v>10160</v>
      </c>
      <c r="H59" s="100">
        <v>10160</v>
      </c>
    </row>
    <row r="60" spans="2:8" x14ac:dyDescent="0.2">
      <c r="B60" s="101" t="s">
        <v>111</v>
      </c>
      <c r="C60" s="99">
        <v>2260</v>
      </c>
      <c r="D60" s="99">
        <v>2250</v>
      </c>
      <c r="E60" s="99">
        <v>2250</v>
      </c>
      <c r="F60" s="99">
        <v>2250</v>
      </c>
      <c r="G60" s="99">
        <v>2270</v>
      </c>
      <c r="H60" s="100">
        <v>2270</v>
      </c>
    </row>
    <row r="61" spans="2:8" x14ac:dyDescent="0.2">
      <c r="B61" s="78"/>
      <c r="C61" s="99"/>
      <c r="D61" s="99"/>
      <c r="E61" s="99"/>
      <c r="F61" s="99"/>
      <c r="G61" s="99"/>
      <c r="H61" s="100"/>
    </row>
    <row r="62" spans="2:8" ht="15" customHeight="1" x14ac:dyDescent="0.2">
      <c r="B62" s="101" t="s">
        <v>112</v>
      </c>
      <c r="C62" s="99">
        <v>91900</v>
      </c>
      <c r="D62" s="99">
        <v>91100</v>
      </c>
      <c r="E62" s="99">
        <v>91400</v>
      </c>
      <c r="F62" s="99">
        <v>91400</v>
      </c>
      <c r="G62" s="99">
        <v>91900</v>
      </c>
      <c r="H62" s="100">
        <v>91900</v>
      </c>
    </row>
    <row r="63" spans="2:8" ht="15" customHeight="1" x14ac:dyDescent="0.2">
      <c r="B63" s="101" t="s">
        <v>113</v>
      </c>
      <c r="C63" s="99">
        <v>13630</v>
      </c>
      <c r="D63" s="99">
        <v>13640</v>
      </c>
      <c r="E63" s="99">
        <v>13630</v>
      </c>
      <c r="F63" s="99">
        <v>13630</v>
      </c>
      <c r="G63" s="99">
        <v>13630</v>
      </c>
      <c r="H63" s="100">
        <v>13630</v>
      </c>
    </row>
    <row r="64" spans="2:8" ht="15" customHeight="1" x14ac:dyDescent="0.2">
      <c r="B64" s="101" t="s">
        <v>114</v>
      </c>
      <c r="C64" s="99">
        <v>1270</v>
      </c>
      <c r="D64" s="99">
        <v>1240</v>
      </c>
      <c r="E64" s="99">
        <v>1250</v>
      </c>
      <c r="F64" s="99">
        <v>1250</v>
      </c>
      <c r="G64" s="99">
        <v>1250</v>
      </c>
      <c r="H64" s="100">
        <v>1250</v>
      </c>
    </row>
    <row r="65" spans="2:8" ht="15" customHeight="1" x14ac:dyDescent="0.2">
      <c r="B65" s="78"/>
      <c r="C65" s="99"/>
      <c r="D65" s="99"/>
      <c r="E65" s="99"/>
      <c r="F65" s="99"/>
      <c r="G65" s="99"/>
      <c r="H65" s="100"/>
    </row>
    <row r="66" spans="2:8" ht="15" customHeight="1" x14ac:dyDescent="0.2">
      <c r="B66" s="78"/>
      <c r="C66" s="99"/>
      <c r="D66" s="99"/>
      <c r="E66" s="99"/>
      <c r="F66" s="99"/>
      <c r="G66" s="99"/>
      <c r="H66" s="100"/>
    </row>
    <row r="67" spans="2:8" ht="15" customHeight="1" x14ac:dyDescent="0.2">
      <c r="B67" s="78" t="s">
        <v>117</v>
      </c>
      <c r="C67" s="99"/>
      <c r="D67" s="99"/>
      <c r="E67" s="99"/>
      <c r="F67" s="99"/>
      <c r="G67" s="99"/>
      <c r="H67" s="100"/>
    </row>
    <row r="68" spans="2:8" ht="15" customHeight="1" x14ac:dyDescent="0.2">
      <c r="B68" s="101" t="s">
        <v>109</v>
      </c>
      <c r="C68" s="102">
        <v>91.6</v>
      </c>
      <c r="D68" s="102">
        <v>92.3</v>
      </c>
      <c r="E68" s="102">
        <v>91.2</v>
      </c>
      <c r="F68" s="102">
        <v>92.3</v>
      </c>
      <c r="G68" s="102">
        <v>95.1</v>
      </c>
      <c r="H68" s="103">
        <v>88.6</v>
      </c>
    </row>
    <row r="69" spans="2:8" ht="15" customHeight="1" x14ac:dyDescent="0.2">
      <c r="B69" s="101" t="s">
        <v>110</v>
      </c>
      <c r="C69" s="104">
        <v>0.34200000000000003</v>
      </c>
      <c r="D69" s="104">
        <v>0.35799999999999998</v>
      </c>
      <c r="E69" s="104">
        <v>0.36</v>
      </c>
      <c r="F69" s="104">
        <v>0.35799999999999998</v>
      </c>
      <c r="G69" s="104">
        <v>0.254</v>
      </c>
      <c r="H69" s="105">
        <v>0.502</v>
      </c>
    </row>
    <row r="70" spans="2:8" ht="15" customHeight="1" x14ac:dyDescent="0.2">
      <c r="B70" s="101" t="s">
        <v>67</v>
      </c>
      <c r="C70" s="99">
        <v>211300</v>
      </c>
      <c r="D70" s="99">
        <v>211900</v>
      </c>
      <c r="E70" s="99">
        <v>213100</v>
      </c>
      <c r="F70" s="99">
        <v>211900</v>
      </c>
      <c r="G70" s="99">
        <v>214700</v>
      </c>
      <c r="H70" s="100">
        <v>213000</v>
      </c>
    </row>
    <row r="71" spans="2:8" ht="15" customHeight="1" x14ac:dyDescent="0.2">
      <c r="B71" s="101" t="s">
        <v>71</v>
      </c>
      <c r="C71" s="99">
        <v>10290</v>
      </c>
      <c r="D71" s="99">
        <v>10300</v>
      </c>
      <c r="E71" s="99">
        <v>10290</v>
      </c>
      <c r="F71" s="99">
        <v>10300</v>
      </c>
      <c r="G71" s="99">
        <v>10280</v>
      </c>
      <c r="H71" s="100">
        <v>10330</v>
      </c>
    </row>
    <row r="72" spans="2:8" ht="15" customHeight="1" x14ac:dyDescent="0.2">
      <c r="B72" s="101" t="s">
        <v>111</v>
      </c>
      <c r="C72" s="99">
        <v>2200</v>
      </c>
      <c r="D72" s="99">
        <v>2180</v>
      </c>
      <c r="E72" s="99">
        <v>2190</v>
      </c>
      <c r="F72" s="99">
        <v>2180</v>
      </c>
      <c r="G72" s="99">
        <v>2210</v>
      </c>
      <c r="H72" s="100">
        <v>2200</v>
      </c>
    </row>
    <row r="73" spans="2:8" ht="15" customHeight="1" x14ac:dyDescent="0.2">
      <c r="B73" s="78"/>
      <c r="C73" s="99"/>
      <c r="D73" s="99"/>
      <c r="E73" s="99"/>
      <c r="F73" s="99"/>
      <c r="G73" s="99"/>
      <c r="H73" s="100"/>
    </row>
    <row r="74" spans="2:8" ht="15" customHeight="1" x14ac:dyDescent="0.2">
      <c r="B74" s="101" t="s">
        <v>112</v>
      </c>
      <c r="C74" s="99">
        <v>87600</v>
      </c>
      <c r="D74" s="99">
        <v>87900</v>
      </c>
      <c r="E74" s="99">
        <v>88500</v>
      </c>
      <c r="F74" s="99">
        <v>87800</v>
      </c>
      <c r="G74" s="99">
        <v>87700</v>
      </c>
      <c r="H74" s="100">
        <v>89800</v>
      </c>
    </row>
    <row r="75" spans="2:8" ht="15" customHeight="1" x14ac:dyDescent="0.2">
      <c r="B75" s="101" t="s">
        <v>113</v>
      </c>
      <c r="C75" s="99">
        <v>13720</v>
      </c>
      <c r="D75" s="99">
        <v>13740</v>
      </c>
      <c r="E75" s="99">
        <v>13710</v>
      </c>
      <c r="F75" s="99">
        <v>13760</v>
      </c>
      <c r="G75" s="99">
        <v>13780</v>
      </c>
      <c r="H75" s="100">
        <v>13680</v>
      </c>
    </row>
    <row r="76" spans="2:8" ht="15" customHeight="1" x14ac:dyDescent="0.2">
      <c r="B76" s="101" t="s">
        <v>114</v>
      </c>
      <c r="C76" s="99">
        <v>1220</v>
      </c>
      <c r="D76" s="99">
        <v>1210</v>
      </c>
      <c r="E76" s="99">
        <v>1210</v>
      </c>
      <c r="F76" s="99">
        <v>1210</v>
      </c>
      <c r="G76" s="99">
        <v>1210</v>
      </c>
      <c r="H76" s="100">
        <v>1230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118</v>
      </c>
      <c r="C79" s="99"/>
      <c r="D79" s="99"/>
      <c r="E79" s="99"/>
      <c r="F79" s="99"/>
      <c r="G79" s="99"/>
      <c r="H79" s="100"/>
    </row>
    <row r="80" spans="2:8" ht="15" customHeight="1" x14ac:dyDescent="0.2">
      <c r="B80" s="101" t="s">
        <v>109</v>
      </c>
      <c r="C80" s="102">
        <v>11.4</v>
      </c>
      <c r="D80" s="102">
        <v>10.9</v>
      </c>
      <c r="E80" s="102">
        <v>13.1</v>
      </c>
      <c r="F80" s="102">
        <v>14.5</v>
      </c>
      <c r="G80" s="102">
        <v>22.2</v>
      </c>
      <c r="H80" s="103">
        <v>17.5</v>
      </c>
    </row>
    <row r="81" spans="2:8" ht="15" customHeight="1" x14ac:dyDescent="0.2">
      <c r="B81" s="101" t="s">
        <v>110</v>
      </c>
      <c r="C81" s="104">
        <v>0.73299999999999998</v>
      </c>
      <c r="D81" s="104">
        <v>0.61699999999999999</v>
      </c>
      <c r="E81" s="104">
        <v>0.6984999999999999</v>
      </c>
      <c r="F81" s="104">
        <v>0.65900000000000003</v>
      </c>
      <c r="G81" s="104">
        <v>0.46700000000000003</v>
      </c>
      <c r="H81" s="105">
        <v>0.46899999999999997</v>
      </c>
    </row>
    <row r="82" spans="2:8" ht="15" customHeight="1" x14ac:dyDescent="0.2">
      <c r="B82" s="101" t="s">
        <v>67</v>
      </c>
      <c r="C82" s="99">
        <v>225900</v>
      </c>
      <c r="D82" s="99">
        <v>227100</v>
      </c>
      <c r="E82" s="99">
        <v>228000</v>
      </c>
      <c r="F82" s="99">
        <v>228000</v>
      </c>
      <c r="G82" s="99">
        <v>229200</v>
      </c>
      <c r="H82" s="100">
        <v>229200</v>
      </c>
    </row>
    <row r="83" spans="2:8" ht="15" customHeight="1" x14ac:dyDescent="0.2">
      <c r="B83" s="101" t="s">
        <v>71</v>
      </c>
      <c r="C83" s="99">
        <v>9830</v>
      </c>
      <c r="D83" s="99">
        <v>9830</v>
      </c>
      <c r="E83" s="99">
        <v>9830</v>
      </c>
      <c r="F83" s="99">
        <v>9840</v>
      </c>
      <c r="G83" s="99">
        <v>9850</v>
      </c>
      <c r="H83" s="100">
        <v>9840</v>
      </c>
    </row>
    <row r="84" spans="2:8" ht="15" customHeight="1" x14ac:dyDescent="0.2">
      <c r="B84" s="101" t="s">
        <v>111</v>
      </c>
      <c r="C84" s="99">
        <v>2250</v>
      </c>
      <c r="D84" s="99">
        <v>2230</v>
      </c>
      <c r="E84" s="99">
        <v>2240</v>
      </c>
      <c r="F84" s="99">
        <v>2240</v>
      </c>
      <c r="G84" s="99">
        <v>2260</v>
      </c>
      <c r="H84" s="100">
        <v>2260</v>
      </c>
    </row>
    <row r="85" spans="2:8" ht="15" customHeight="1" x14ac:dyDescent="0.2">
      <c r="B85" s="78"/>
      <c r="C85" s="99"/>
      <c r="D85" s="99"/>
      <c r="E85" s="99"/>
      <c r="F85" s="99"/>
      <c r="G85" s="99"/>
      <c r="H85" s="100"/>
    </row>
    <row r="86" spans="2:8" ht="15" customHeight="1" x14ac:dyDescent="0.2">
      <c r="B86" s="101" t="s">
        <v>112</v>
      </c>
      <c r="C86" s="99">
        <v>93800</v>
      </c>
      <c r="D86" s="99">
        <v>94200</v>
      </c>
      <c r="E86" s="99">
        <v>94600</v>
      </c>
      <c r="F86" s="99">
        <v>94600</v>
      </c>
      <c r="G86" s="99">
        <v>95100</v>
      </c>
      <c r="H86" s="100">
        <v>95100</v>
      </c>
    </row>
    <row r="87" spans="2:8" x14ac:dyDescent="0.2">
      <c r="B87" s="101" t="s">
        <v>113</v>
      </c>
      <c r="C87" s="99">
        <v>13680</v>
      </c>
      <c r="D87" s="99">
        <v>13680</v>
      </c>
      <c r="E87" s="99">
        <v>13680</v>
      </c>
      <c r="F87" s="99">
        <v>13670</v>
      </c>
      <c r="G87" s="99">
        <v>13640</v>
      </c>
      <c r="H87" s="100">
        <v>13660</v>
      </c>
    </row>
    <row r="88" spans="2:8" x14ac:dyDescent="0.2">
      <c r="B88" s="101" t="s">
        <v>114</v>
      </c>
      <c r="C88" s="99">
        <v>1300</v>
      </c>
      <c r="D88" s="99">
        <v>1290</v>
      </c>
      <c r="E88" s="99">
        <v>1290</v>
      </c>
      <c r="F88" s="99">
        <v>1290</v>
      </c>
      <c r="G88" s="99">
        <v>1300</v>
      </c>
      <c r="H88" s="100">
        <v>1300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119</v>
      </c>
      <c r="C91" s="99"/>
      <c r="D91" s="99"/>
      <c r="E91" s="99"/>
      <c r="F91" s="99"/>
      <c r="G91" s="99"/>
      <c r="H91" s="100"/>
    </row>
    <row r="92" spans="2:8" ht="15" customHeight="1" x14ac:dyDescent="0.2">
      <c r="B92" s="101" t="s">
        <v>109</v>
      </c>
      <c r="C92" s="102">
        <v>90</v>
      </c>
      <c r="D92" s="102">
        <v>90</v>
      </c>
      <c r="E92" s="102">
        <v>90</v>
      </c>
      <c r="F92" s="102">
        <v>90</v>
      </c>
      <c r="G92" s="102">
        <v>90</v>
      </c>
      <c r="H92" s="103">
        <v>90</v>
      </c>
    </row>
    <row r="93" spans="2:8" ht="15" customHeight="1" x14ac:dyDescent="0.2">
      <c r="B93" s="101" t="s">
        <v>110</v>
      </c>
      <c r="C93" s="104">
        <v>0.7</v>
      </c>
      <c r="D93" s="104">
        <v>0.7</v>
      </c>
      <c r="E93" s="104">
        <v>0.7</v>
      </c>
      <c r="F93" s="104">
        <v>0.7</v>
      </c>
      <c r="G93" s="104">
        <v>0.7</v>
      </c>
      <c r="H93" s="105">
        <v>0.7</v>
      </c>
    </row>
    <row r="94" spans="2:8" ht="15" customHeight="1" x14ac:dyDescent="0.2">
      <c r="B94" s="101" t="s">
        <v>67</v>
      </c>
      <c r="C94" s="99">
        <v>207100</v>
      </c>
      <c r="D94" s="99">
        <v>208200</v>
      </c>
      <c r="E94" s="99">
        <v>209100</v>
      </c>
      <c r="F94" s="99">
        <v>209100</v>
      </c>
      <c r="G94" s="99">
        <v>210200</v>
      </c>
      <c r="H94" s="100">
        <v>210200</v>
      </c>
    </row>
    <row r="95" spans="2:8" ht="15" customHeight="1" x14ac:dyDescent="0.2">
      <c r="B95" s="101" t="s">
        <v>71</v>
      </c>
      <c r="C95" s="99">
        <v>10360</v>
      </c>
      <c r="D95" s="99">
        <v>10360</v>
      </c>
      <c r="E95" s="99">
        <v>10360</v>
      </c>
      <c r="F95" s="99">
        <v>10360</v>
      </c>
      <c r="G95" s="99">
        <v>10360</v>
      </c>
      <c r="H95" s="100">
        <v>10360</v>
      </c>
    </row>
    <row r="96" spans="2:8" ht="15" customHeight="1" x14ac:dyDescent="0.2">
      <c r="B96" s="101" t="s">
        <v>111</v>
      </c>
      <c r="C96" s="99">
        <v>2170</v>
      </c>
      <c r="D96" s="99">
        <v>2160</v>
      </c>
      <c r="E96" s="99">
        <v>2170</v>
      </c>
      <c r="F96" s="99">
        <v>2170</v>
      </c>
      <c r="G96" s="99">
        <v>2180</v>
      </c>
      <c r="H96" s="100">
        <v>2180</v>
      </c>
    </row>
    <row r="97" spans="2:8" ht="15" customHeight="1" x14ac:dyDescent="0.2">
      <c r="B97" s="78"/>
      <c r="C97" s="99"/>
      <c r="D97" s="99"/>
      <c r="E97" s="99"/>
      <c r="F97" s="99"/>
      <c r="G97" s="99"/>
      <c r="H97" s="100"/>
    </row>
    <row r="98" spans="2:8" ht="15" customHeight="1" x14ac:dyDescent="0.2">
      <c r="B98" s="101" t="s">
        <v>112</v>
      </c>
      <c r="C98" s="99">
        <v>87600</v>
      </c>
      <c r="D98" s="99">
        <v>88700</v>
      </c>
      <c r="E98" s="99">
        <v>89100</v>
      </c>
      <c r="F98" s="99">
        <v>89100</v>
      </c>
      <c r="G98" s="99">
        <v>89500</v>
      </c>
      <c r="H98" s="100">
        <v>89500</v>
      </c>
    </row>
    <row r="99" spans="2:8" ht="15" customHeight="1" x14ac:dyDescent="0.2">
      <c r="B99" s="101" t="s">
        <v>113</v>
      </c>
      <c r="C99" s="99">
        <v>13720</v>
      </c>
      <c r="D99" s="99">
        <v>13720</v>
      </c>
      <c r="E99" s="99">
        <v>13720</v>
      </c>
      <c r="F99" s="99">
        <v>13720</v>
      </c>
      <c r="G99" s="99">
        <v>13720</v>
      </c>
      <c r="H99" s="100">
        <v>13720</v>
      </c>
    </row>
    <row r="100" spans="2:8" ht="15" customHeight="1" x14ac:dyDescent="0.2">
      <c r="B100" s="101" t="s">
        <v>114</v>
      </c>
      <c r="C100" s="99">
        <v>1220</v>
      </c>
      <c r="D100" s="99">
        <v>1220</v>
      </c>
      <c r="E100" s="99">
        <v>1220</v>
      </c>
      <c r="F100" s="99">
        <v>1220</v>
      </c>
      <c r="G100" s="99">
        <v>1230</v>
      </c>
      <c r="H100" s="100">
        <v>1230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120</v>
      </c>
      <c r="C103" s="99"/>
      <c r="D103" s="99"/>
      <c r="E103" s="99"/>
      <c r="F103" s="99"/>
      <c r="G103" s="99"/>
      <c r="H103" s="100"/>
    </row>
    <row r="104" spans="2:8" x14ac:dyDescent="0.2">
      <c r="B104" s="78"/>
      <c r="C104" s="99"/>
      <c r="D104" s="99"/>
      <c r="E104" s="99"/>
      <c r="F104" s="99"/>
      <c r="G104" s="99"/>
      <c r="H104" s="100"/>
    </row>
    <row r="105" spans="2:8" x14ac:dyDescent="0.2">
      <c r="B105" s="78" t="s">
        <v>121</v>
      </c>
      <c r="C105" s="99" t="s">
        <v>202</v>
      </c>
      <c r="D105" s="99" t="s">
        <v>202</v>
      </c>
      <c r="E105" s="99" t="s">
        <v>202</v>
      </c>
      <c r="F105" s="99" t="s">
        <v>202</v>
      </c>
      <c r="G105" s="99" t="s">
        <v>202</v>
      </c>
      <c r="H105" s="100" t="s">
        <v>202</v>
      </c>
    </row>
    <row r="106" spans="2:8" hidden="1" x14ac:dyDescent="0.2">
      <c r="B106" s="78"/>
      <c r="C106" s="99"/>
      <c r="D106" s="99"/>
      <c r="E106" s="99"/>
      <c r="F106" s="99"/>
      <c r="G106" s="99"/>
      <c r="H106" s="100"/>
    </row>
    <row r="107" spans="2:8" ht="15.75" hidden="1" x14ac:dyDescent="0.2">
      <c r="B107" s="107"/>
      <c r="C107" s="99"/>
      <c r="D107" s="99"/>
      <c r="E107" s="99"/>
      <c r="F107" s="99"/>
      <c r="G107" s="99"/>
      <c r="H107" s="100"/>
    </row>
    <row r="108" spans="2:8" hidden="1" x14ac:dyDescent="0.2">
      <c r="B108" s="78"/>
      <c r="C108" s="108"/>
      <c r="D108" s="108"/>
      <c r="E108" s="108"/>
      <c r="F108" s="108"/>
      <c r="G108" s="108"/>
      <c r="H108" s="109"/>
    </row>
    <row r="109" spans="2:8" hidden="1" x14ac:dyDescent="0.2">
      <c r="B109" s="78"/>
      <c r="C109" s="108"/>
      <c r="D109" s="108"/>
      <c r="E109" s="108"/>
      <c r="F109" s="108"/>
      <c r="G109" s="99"/>
      <c r="H109" s="109"/>
    </row>
    <row r="110" spans="2:8" ht="15" hidden="1" customHeight="1" x14ac:dyDescent="0.2">
      <c r="B110" s="78"/>
      <c r="C110" s="99"/>
      <c r="D110" s="99"/>
      <c r="E110" s="99"/>
      <c r="F110" s="99"/>
      <c r="G110" s="99"/>
      <c r="H110" s="100"/>
    </row>
    <row r="111" spans="2:8" ht="15" hidden="1" customHeight="1" x14ac:dyDescent="0.2">
      <c r="B111" s="78"/>
      <c r="C111" s="99"/>
      <c r="D111" s="99"/>
      <c r="E111" s="99"/>
      <c r="F111" s="99"/>
      <c r="G111" s="99"/>
      <c r="H111" s="100"/>
    </row>
    <row r="112" spans="2:8" ht="15" hidden="1" customHeight="1" x14ac:dyDescent="0.2">
      <c r="B112" s="78"/>
      <c r="C112" s="99"/>
      <c r="D112" s="99"/>
      <c r="E112" s="99"/>
      <c r="F112" s="99"/>
      <c r="G112" s="99"/>
      <c r="H112" s="100"/>
    </row>
    <row r="113" spans="2:8" ht="15" hidden="1" customHeight="1" x14ac:dyDescent="0.2">
      <c r="B113" s="78"/>
      <c r="C113" s="99"/>
      <c r="D113" s="99"/>
      <c r="E113" s="99"/>
      <c r="F113" s="99"/>
      <c r="G113" s="99"/>
      <c r="H113" s="100"/>
    </row>
    <row r="114" spans="2:8" ht="15" hidden="1" customHeight="1" x14ac:dyDescent="0.2">
      <c r="B114" s="78"/>
      <c r="C114" s="99"/>
      <c r="D114" s="99"/>
      <c r="E114" s="99"/>
      <c r="F114" s="99"/>
      <c r="G114" s="99"/>
      <c r="H114" s="100"/>
    </row>
    <row r="115" spans="2:8" ht="15" hidden="1" customHeight="1" x14ac:dyDescent="0.2">
      <c r="B115" s="78"/>
      <c r="C115" s="99"/>
      <c r="D115" s="99"/>
      <c r="E115" s="99"/>
      <c r="F115" s="99"/>
      <c r="G115" s="99"/>
      <c r="H115" s="100"/>
    </row>
    <row r="116" spans="2:8" hidden="1" x14ac:dyDescent="0.2">
      <c r="B116" s="78"/>
      <c r="C116" s="99"/>
      <c r="D116" s="99"/>
      <c r="E116" s="99"/>
      <c r="F116" s="99"/>
      <c r="G116" s="99"/>
      <c r="H116" s="100"/>
    </row>
    <row r="117" spans="2:8" ht="15.75" hidden="1" x14ac:dyDescent="0.2">
      <c r="B117" s="107"/>
      <c r="C117" s="99"/>
      <c r="D117" s="99"/>
      <c r="E117" s="99"/>
      <c r="F117" s="99"/>
      <c r="G117" s="99"/>
      <c r="H117" s="100"/>
    </row>
    <row r="118" spans="2:8" hidden="1"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123</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124</v>
      </c>
      <c r="C122" s="120">
        <v>180.96</v>
      </c>
      <c r="D122" s="120">
        <v>183.9</v>
      </c>
      <c r="E122" s="120">
        <v>187.65</v>
      </c>
      <c r="F122" s="120">
        <v>198.84</v>
      </c>
      <c r="G122" s="120">
        <v>226.42</v>
      </c>
      <c r="H122" s="121">
        <v>223.42</v>
      </c>
    </row>
    <row r="123" spans="2:8" s="118" customFormat="1" ht="15.75" x14ac:dyDescent="0.2">
      <c r="B123" s="122" t="s">
        <v>125</v>
      </c>
      <c r="C123" s="123">
        <v>54.160593597599224</v>
      </c>
      <c r="D123" s="123">
        <v>55.040523665995231</v>
      </c>
      <c r="E123" s="123">
        <v>56.162883447112584</v>
      </c>
      <c r="F123" s="123">
        <v>59.51200503396678</v>
      </c>
      <c r="G123" s="123">
        <v>67.766587104157907</v>
      </c>
      <c r="H123" s="124">
        <v>66.868699279264021</v>
      </c>
    </row>
    <row r="124" spans="2:8" s="118" customFormat="1" ht="15.75" x14ac:dyDescent="0.2">
      <c r="B124" s="122" t="s">
        <v>126</v>
      </c>
      <c r="C124" s="123">
        <v>32.930524674072764</v>
      </c>
      <c r="D124" s="123">
        <v>33.465536513936684</v>
      </c>
      <c r="E124" s="123">
        <v>34.147949574987592</v>
      </c>
      <c r="F124" s="123">
        <v>36.18427014916351</v>
      </c>
      <c r="G124" s="123">
        <v>41.203190742172609</v>
      </c>
      <c r="H124" s="124">
        <v>40.657260293331881</v>
      </c>
    </row>
    <row r="125" spans="2:8" s="118" customFormat="1" ht="15.75" x14ac:dyDescent="0.2">
      <c r="B125" s="122" t="s">
        <v>127</v>
      </c>
      <c r="C125" s="123">
        <v>44.480853679041985</v>
      </c>
      <c r="D125" s="123">
        <v>45.203520068389814</v>
      </c>
      <c r="E125" s="123">
        <v>46.125288422149801</v>
      </c>
      <c r="F125" s="123">
        <v>48.875845189769606</v>
      </c>
      <c r="G125" s="123">
        <v>55.655144175556394</v>
      </c>
      <c r="H125" s="124">
        <v>54.917729492548403</v>
      </c>
    </row>
    <row r="126" spans="2:8" s="118" customFormat="1" ht="15.75" x14ac:dyDescent="0.2">
      <c r="B126" s="122" t="s">
        <v>128</v>
      </c>
      <c r="C126" s="123">
        <v>49.388028049286028</v>
      </c>
      <c r="D126" s="123">
        <v>50.19041975167827</v>
      </c>
      <c r="E126" s="123">
        <v>51.213878555750014</v>
      </c>
      <c r="F126" s="123">
        <v>54.267879627100093</v>
      </c>
      <c r="G126" s="123">
        <v>61.795077978113071</v>
      </c>
      <c r="H126" s="124">
        <v>60.976310934855675</v>
      </c>
    </row>
    <row r="127" spans="2:8" x14ac:dyDescent="0.2">
      <c r="B127" s="78"/>
      <c r="C127" s="81"/>
      <c r="D127" s="81"/>
      <c r="E127" s="81"/>
      <c r="F127" s="81"/>
      <c r="G127" s="81"/>
      <c r="H127" s="82"/>
    </row>
    <row r="128" spans="2:8" s="118" customFormat="1" ht="15.75" x14ac:dyDescent="0.2">
      <c r="B128" s="107" t="s">
        <v>129</v>
      </c>
      <c r="C128" s="120">
        <v>68.650000000000006</v>
      </c>
      <c r="D128" s="120">
        <v>68.81</v>
      </c>
      <c r="E128" s="120">
        <v>69.010000000000019</v>
      </c>
      <c r="F128" s="120">
        <v>69.830000000000013</v>
      </c>
      <c r="G128" s="120">
        <v>116.02</v>
      </c>
      <c r="H128" s="121">
        <v>62.29</v>
      </c>
    </row>
    <row r="129" spans="2:8" x14ac:dyDescent="0.2">
      <c r="B129" s="125" t="s">
        <v>130</v>
      </c>
      <c r="C129" s="126">
        <v>0.37</v>
      </c>
      <c r="D129" s="126">
        <v>0.37</v>
      </c>
      <c r="E129" s="126">
        <v>0.37</v>
      </c>
      <c r="F129" s="126">
        <v>0.37</v>
      </c>
      <c r="G129" s="126">
        <v>0.48</v>
      </c>
      <c r="H129" s="127">
        <v>0.41</v>
      </c>
    </row>
    <row r="130" spans="2:8" x14ac:dyDescent="0.2">
      <c r="B130" s="125" t="s">
        <v>131</v>
      </c>
      <c r="C130" s="126">
        <v>0.44</v>
      </c>
      <c r="D130" s="126">
        <v>0.44</v>
      </c>
      <c r="E130" s="126">
        <v>0.44</v>
      </c>
      <c r="F130" s="126">
        <v>0.44</v>
      </c>
      <c r="G130" s="126">
        <v>0.56999999999999995</v>
      </c>
      <c r="H130" s="127">
        <v>0.48</v>
      </c>
    </row>
    <row r="131" spans="2:8" x14ac:dyDescent="0.2">
      <c r="B131" s="125" t="s">
        <v>132</v>
      </c>
      <c r="C131" s="126">
        <v>1.02</v>
      </c>
      <c r="D131" s="126">
        <v>1.02</v>
      </c>
      <c r="E131" s="126">
        <v>1.02</v>
      </c>
      <c r="F131" s="126">
        <v>1.02</v>
      </c>
      <c r="G131" s="126">
        <v>1.33</v>
      </c>
      <c r="H131" s="127">
        <v>1.1200000000000001</v>
      </c>
    </row>
    <row r="132" spans="2:8" x14ac:dyDescent="0.2">
      <c r="B132" s="125" t="s">
        <v>133</v>
      </c>
      <c r="C132" s="126">
        <v>1.1299999999999999</v>
      </c>
      <c r="D132" s="126">
        <v>1.1299999999999999</v>
      </c>
      <c r="E132" s="126">
        <v>1.1299999999999999</v>
      </c>
      <c r="F132" s="126">
        <v>1.1299999999999999</v>
      </c>
      <c r="G132" s="126">
        <v>1.47</v>
      </c>
      <c r="H132" s="127">
        <v>1.24</v>
      </c>
    </row>
    <row r="133" spans="2:8" x14ac:dyDescent="0.2">
      <c r="B133" s="125" t="s">
        <v>134</v>
      </c>
      <c r="C133" s="126">
        <v>1</v>
      </c>
      <c r="D133" s="126">
        <v>1</v>
      </c>
      <c r="E133" s="126">
        <v>1</v>
      </c>
      <c r="F133" s="126">
        <v>1</v>
      </c>
      <c r="G133" s="126">
        <v>1.3</v>
      </c>
      <c r="H133" s="127">
        <v>1.1000000000000001</v>
      </c>
    </row>
    <row r="134" spans="2:8" x14ac:dyDescent="0.2">
      <c r="B134" s="125" t="s">
        <v>135</v>
      </c>
      <c r="C134" s="126">
        <v>0.27</v>
      </c>
      <c r="D134" s="126">
        <v>0.27</v>
      </c>
      <c r="E134" s="126">
        <v>0.27</v>
      </c>
      <c r="F134" s="126">
        <v>0.27</v>
      </c>
      <c r="G134" s="126">
        <v>0.35</v>
      </c>
      <c r="H134" s="127">
        <v>0.3</v>
      </c>
    </row>
    <row r="135" spans="2:8" x14ac:dyDescent="0.2">
      <c r="B135" s="125" t="s">
        <v>136</v>
      </c>
      <c r="C135" s="126">
        <v>0</v>
      </c>
      <c r="D135" s="126">
        <v>0</v>
      </c>
      <c r="E135" s="126">
        <v>0</v>
      </c>
      <c r="F135" s="126">
        <v>0</v>
      </c>
      <c r="G135" s="126">
        <v>0</v>
      </c>
      <c r="H135" s="127">
        <v>0</v>
      </c>
    </row>
    <row r="136" spans="2:8" x14ac:dyDescent="0.2">
      <c r="B136" s="125" t="s">
        <v>137</v>
      </c>
      <c r="C136" s="126">
        <v>0.51</v>
      </c>
      <c r="D136" s="126">
        <v>0.51</v>
      </c>
      <c r="E136" s="126">
        <v>0.51</v>
      </c>
      <c r="F136" s="126">
        <v>0.51</v>
      </c>
      <c r="G136" s="126">
        <v>0.66</v>
      </c>
      <c r="H136" s="127">
        <v>0.56000000000000005</v>
      </c>
    </row>
    <row r="137" spans="2:8" x14ac:dyDescent="0.2">
      <c r="B137" s="125" t="s">
        <v>138</v>
      </c>
      <c r="C137" s="126">
        <v>1</v>
      </c>
      <c r="D137" s="126">
        <v>1</v>
      </c>
      <c r="E137" s="126">
        <v>1</v>
      </c>
      <c r="F137" s="126">
        <v>1</v>
      </c>
      <c r="G137" s="126">
        <v>1.3</v>
      </c>
      <c r="H137" s="127">
        <v>1.1000000000000001</v>
      </c>
    </row>
    <row r="138" spans="2:8" x14ac:dyDescent="0.2">
      <c r="B138" s="125" t="s">
        <v>139</v>
      </c>
      <c r="C138" s="126">
        <v>10.25</v>
      </c>
      <c r="D138" s="126">
        <v>10.25</v>
      </c>
      <c r="E138" s="126">
        <v>10.25</v>
      </c>
      <c r="F138" s="126">
        <v>10.25</v>
      </c>
      <c r="G138" s="126">
        <v>50.75</v>
      </c>
      <c r="H138" s="127">
        <v>5.59</v>
      </c>
    </row>
    <row r="139" spans="2:8" x14ac:dyDescent="0.2">
      <c r="B139" s="125" t="s">
        <v>140</v>
      </c>
      <c r="C139" s="126">
        <v>11</v>
      </c>
      <c r="D139" s="126">
        <v>11</v>
      </c>
      <c r="E139" s="126">
        <v>11</v>
      </c>
      <c r="F139" s="126">
        <v>11</v>
      </c>
      <c r="G139" s="126">
        <v>11</v>
      </c>
      <c r="H139" s="127">
        <v>6.5</v>
      </c>
    </row>
    <row r="140" spans="2:8" x14ac:dyDescent="0.2">
      <c r="B140" s="125" t="s">
        <v>141</v>
      </c>
      <c r="C140" s="126">
        <v>14.3</v>
      </c>
      <c r="D140" s="126">
        <v>14.3</v>
      </c>
      <c r="E140" s="126">
        <v>14.3</v>
      </c>
      <c r="F140" s="126">
        <v>14.3</v>
      </c>
      <c r="G140" s="126">
        <v>14.3</v>
      </c>
      <c r="H140" s="127">
        <v>14.3</v>
      </c>
    </row>
    <row r="141" spans="2:8" x14ac:dyDescent="0.2">
      <c r="B141" s="125" t="s">
        <v>142</v>
      </c>
      <c r="C141" s="126"/>
      <c r="D141" s="126"/>
      <c r="E141" s="126"/>
      <c r="F141" s="126"/>
      <c r="G141" s="126"/>
      <c r="H141" s="127"/>
    </row>
    <row r="142" spans="2:8" x14ac:dyDescent="0.2">
      <c r="B142" s="125" t="s">
        <v>143</v>
      </c>
      <c r="C142" s="126">
        <v>0.1</v>
      </c>
      <c r="D142" s="126">
        <v>0.1</v>
      </c>
      <c r="E142" s="126">
        <v>0.1</v>
      </c>
      <c r="F142" s="126">
        <v>0.3</v>
      </c>
      <c r="G142" s="126">
        <v>0.3</v>
      </c>
      <c r="H142" s="127">
        <v>0.3</v>
      </c>
    </row>
    <row r="143" spans="2:8" x14ac:dyDescent="0.2">
      <c r="B143" s="125" t="s">
        <v>144</v>
      </c>
      <c r="C143" s="126">
        <v>0.5</v>
      </c>
      <c r="D143" s="126">
        <v>0.5</v>
      </c>
      <c r="E143" s="126">
        <v>0.5</v>
      </c>
      <c r="F143" s="126">
        <v>0.5</v>
      </c>
      <c r="G143" s="126">
        <v>0.65</v>
      </c>
      <c r="H143" s="127">
        <v>0.55000000000000004</v>
      </c>
    </row>
    <row r="144" spans="2:8" x14ac:dyDescent="0.2">
      <c r="B144" s="125" t="s">
        <v>145</v>
      </c>
      <c r="C144" s="126">
        <v>3.1</v>
      </c>
      <c r="D144" s="126">
        <v>3.1</v>
      </c>
      <c r="E144" s="126">
        <v>3.1</v>
      </c>
      <c r="F144" s="126">
        <v>3.1</v>
      </c>
      <c r="G144" s="126">
        <v>3.1</v>
      </c>
      <c r="H144" s="127">
        <v>3.1</v>
      </c>
    </row>
    <row r="145" spans="2:159" x14ac:dyDescent="0.2">
      <c r="B145" s="125" t="s">
        <v>146</v>
      </c>
      <c r="C145" s="126">
        <v>4.88</v>
      </c>
      <c r="D145" s="126">
        <v>4.88</v>
      </c>
      <c r="E145" s="126">
        <v>4.88</v>
      </c>
      <c r="F145" s="126">
        <v>4.88</v>
      </c>
      <c r="G145" s="126">
        <v>4.88</v>
      </c>
      <c r="H145" s="127">
        <v>4.88</v>
      </c>
    </row>
    <row r="146" spans="2:159" x14ac:dyDescent="0.2">
      <c r="B146" s="125" t="s">
        <v>147</v>
      </c>
      <c r="C146" s="126">
        <v>0.57999999999999996</v>
      </c>
      <c r="D146" s="126">
        <v>0.57999999999999996</v>
      </c>
      <c r="E146" s="126">
        <v>0.57999999999999996</v>
      </c>
      <c r="F146" s="126">
        <v>0.57999999999999996</v>
      </c>
      <c r="G146" s="126">
        <v>0.75</v>
      </c>
      <c r="H146" s="127">
        <v>0.64</v>
      </c>
    </row>
    <row r="147" spans="2:159" x14ac:dyDescent="0.2">
      <c r="B147" s="125" t="s">
        <v>148</v>
      </c>
      <c r="C147" s="126">
        <v>5.5</v>
      </c>
      <c r="D147" s="126">
        <v>5.5</v>
      </c>
      <c r="E147" s="126">
        <v>5.5</v>
      </c>
      <c r="F147" s="126">
        <v>5.5</v>
      </c>
      <c r="G147" s="126">
        <v>5.5</v>
      </c>
      <c r="H147" s="127">
        <v>5.5</v>
      </c>
    </row>
    <row r="148" spans="2:159" x14ac:dyDescent="0.2">
      <c r="B148" s="125"/>
      <c r="C148" s="126"/>
      <c r="D148" s="126"/>
      <c r="E148" s="126"/>
      <c r="F148" s="126"/>
      <c r="G148" s="126"/>
      <c r="H148" s="127"/>
    </row>
    <row r="149" spans="2:159" x14ac:dyDescent="0.2">
      <c r="B149" s="125" t="s">
        <v>149</v>
      </c>
      <c r="C149" s="126">
        <v>0.81</v>
      </c>
      <c r="D149" s="126">
        <v>0.83</v>
      </c>
      <c r="E149" s="126">
        <v>0.84</v>
      </c>
      <c r="F149" s="126">
        <v>0.89</v>
      </c>
      <c r="G149" s="126">
        <v>1.02</v>
      </c>
      <c r="H149" s="127">
        <v>1.01</v>
      </c>
    </row>
    <row r="150" spans="2:159" x14ac:dyDescent="0.2">
      <c r="B150" s="125" t="s">
        <v>150</v>
      </c>
      <c r="C150" s="126">
        <v>11.89</v>
      </c>
      <c r="D150" s="126">
        <v>12.03</v>
      </c>
      <c r="E150" s="126">
        <v>12.22</v>
      </c>
      <c r="F150" s="126">
        <v>12.79</v>
      </c>
      <c r="G150" s="126">
        <v>16.309999999999999</v>
      </c>
      <c r="H150" s="127">
        <v>13.61</v>
      </c>
    </row>
    <row r="151" spans="2:159" x14ac:dyDescent="0.2">
      <c r="B151" s="125"/>
      <c r="C151" s="128"/>
      <c r="D151" s="128"/>
      <c r="E151" s="128"/>
      <c r="F151" s="128"/>
      <c r="G151" s="128"/>
      <c r="H151" s="129"/>
    </row>
    <row r="152" spans="2:159" ht="15.75" x14ac:dyDescent="0.2">
      <c r="B152" s="107" t="s">
        <v>351</v>
      </c>
      <c r="C152" s="120">
        <v>17.472700000000003</v>
      </c>
      <c r="D152" s="120">
        <v>17.689700000000002</v>
      </c>
      <c r="E152" s="120">
        <v>17.966200000000004</v>
      </c>
      <c r="F152" s="120">
        <v>18.806900000000002</v>
      </c>
      <c r="G152" s="120">
        <v>23.970800000000004</v>
      </c>
      <c r="H152" s="121">
        <v>19.999700000000001</v>
      </c>
    </row>
    <row r="153" spans="2:159" x14ac:dyDescent="0.2">
      <c r="B153" s="125" t="s">
        <v>151</v>
      </c>
      <c r="C153" s="128">
        <v>12.667200000000001</v>
      </c>
      <c r="D153" s="128">
        <v>12.873000000000001</v>
      </c>
      <c r="E153" s="128">
        <v>13.135500000000002</v>
      </c>
      <c r="F153" s="128">
        <v>13.918800000000001</v>
      </c>
      <c r="G153" s="128">
        <v>15.849400000000001</v>
      </c>
      <c r="H153" s="129">
        <v>15.6394</v>
      </c>
    </row>
    <row r="154" spans="2:159" x14ac:dyDescent="0.2">
      <c r="B154" s="125" t="s">
        <v>152</v>
      </c>
      <c r="C154" s="128">
        <v>4.8055000000000012</v>
      </c>
      <c r="D154" s="128">
        <v>4.8167000000000009</v>
      </c>
      <c r="E154" s="128">
        <v>4.830700000000002</v>
      </c>
      <c r="F154" s="128">
        <v>4.8881000000000014</v>
      </c>
      <c r="G154" s="128">
        <v>8.1214000000000013</v>
      </c>
      <c r="H154" s="129">
        <v>4.3603000000000005</v>
      </c>
    </row>
    <row r="155" spans="2:159" hidden="1" x14ac:dyDescent="0.2">
      <c r="B155" s="125"/>
      <c r="C155" s="128"/>
      <c r="D155" s="128"/>
      <c r="E155" s="128"/>
      <c r="F155" s="128"/>
      <c r="G155" s="128"/>
      <c r="H155" s="129"/>
    </row>
    <row r="156" spans="2:159" x14ac:dyDescent="0.2">
      <c r="B156" s="125"/>
      <c r="C156" s="128"/>
      <c r="D156" s="128"/>
      <c r="E156" s="128"/>
      <c r="F156" s="128"/>
      <c r="G156" s="128"/>
      <c r="H156" s="129"/>
    </row>
    <row r="157" spans="2:159" s="130" customFormat="1" ht="15.75" x14ac:dyDescent="0.2">
      <c r="B157" s="131" t="s">
        <v>153</v>
      </c>
      <c r="C157" s="132">
        <v>267.08270000000005</v>
      </c>
      <c r="D157" s="132">
        <v>270.3997</v>
      </c>
      <c r="E157" s="132">
        <v>274.62620000000004</v>
      </c>
      <c r="F157" s="132">
        <v>287.4769</v>
      </c>
      <c r="G157" s="132">
        <v>366.41079999999999</v>
      </c>
      <c r="H157" s="133">
        <v>305.7097</v>
      </c>
      <c r="I157" s="276"/>
      <c r="J157" s="276"/>
      <c r="K157" s="276"/>
      <c r="M157" s="277"/>
      <c r="N157" s="276"/>
      <c r="O157" s="276"/>
      <c r="P157" s="276"/>
      <c r="Q157" s="276"/>
      <c r="R157" s="276"/>
      <c r="S157" s="276"/>
      <c r="T157" s="276"/>
      <c r="V157" s="277"/>
      <c r="W157" s="276"/>
      <c r="X157" s="276"/>
      <c r="Y157" s="276"/>
      <c r="Z157" s="276"/>
      <c r="AA157" s="276"/>
      <c r="AB157" s="276"/>
      <c r="AC157" s="276"/>
      <c r="AE157" s="277"/>
      <c r="AF157" s="276"/>
      <c r="AG157" s="276"/>
      <c r="AH157" s="276"/>
      <c r="AI157" s="276"/>
      <c r="AJ157" s="276"/>
      <c r="AK157" s="276"/>
      <c r="AL157" s="276"/>
      <c r="AN157" s="277"/>
      <c r="AO157" s="276"/>
      <c r="AP157" s="276"/>
      <c r="AQ157" s="276"/>
      <c r="AR157" s="276"/>
      <c r="AS157" s="276"/>
      <c r="AT157" s="276"/>
      <c r="AU157" s="276"/>
      <c r="AW157" s="277"/>
      <c r="AX157" s="276"/>
      <c r="AY157" s="276"/>
      <c r="AZ157" s="276"/>
      <c r="BA157" s="276"/>
      <c r="BB157" s="276"/>
      <c r="BC157" s="276"/>
      <c r="BD157" s="276"/>
      <c r="BF157" s="277"/>
      <c r="BG157" s="276"/>
      <c r="BH157" s="276"/>
      <c r="BI157" s="276"/>
      <c r="BJ157" s="276"/>
      <c r="BK157" s="276"/>
      <c r="BL157" s="276"/>
      <c r="BM157" s="276"/>
      <c r="BO157" s="277"/>
      <c r="BP157" s="276"/>
      <c r="BQ157" s="276"/>
      <c r="BR157" s="276"/>
      <c r="BS157" s="276"/>
      <c r="BT157" s="276"/>
      <c r="BU157" s="276"/>
      <c r="BV157" s="276"/>
      <c r="BX157" s="277"/>
      <c r="BY157" s="276"/>
      <c r="BZ157" s="276"/>
      <c r="CA157" s="276"/>
      <c r="CB157" s="276"/>
      <c r="CC157" s="276"/>
      <c r="CD157" s="276"/>
      <c r="CE157" s="276"/>
      <c r="CG157" s="277"/>
      <c r="CH157" s="276"/>
      <c r="CI157" s="276"/>
      <c r="CJ157" s="276"/>
      <c r="CK157" s="276"/>
      <c r="CL157" s="276"/>
      <c r="CM157" s="276"/>
      <c r="CN157" s="276"/>
      <c r="CP157" s="277"/>
      <c r="CQ157" s="276"/>
      <c r="CR157" s="276"/>
      <c r="CS157" s="276"/>
      <c r="CT157" s="276"/>
      <c r="CU157" s="276"/>
      <c r="CV157" s="276"/>
      <c r="CW157" s="276"/>
      <c r="CY157" s="277"/>
      <c r="CZ157" s="276"/>
      <c r="DA157" s="276"/>
      <c r="DB157" s="276"/>
      <c r="DC157" s="276"/>
      <c r="DD157" s="276"/>
      <c r="DE157" s="276"/>
      <c r="DF157" s="276"/>
      <c r="DH157" s="277"/>
      <c r="DI157" s="276"/>
      <c r="DJ157" s="276"/>
      <c r="DK157" s="276"/>
      <c r="DL157" s="276"/>
      <c r="DM157" s="276"/>
      <c r="DN157" s="276"/>
      <c r="DO157" s="276"/>
      <c r="DQ157" s="277"/>
      <c r="DR157" s="276"/>
      <c r="DS157" s="276"/>
      <c r="DT157" s="276"/>
      <c r="DU157" s="276"/>
      <c r="DV157" s="276"/>
      <c r="DW157" s="276"/>
      <c r="DX157" s="276"/>
      <c r="DZ157" s="277"/>
      <c r="EA157" s="276"/>
      <c r="EB157" s="276"/>
      <c r="EC157" s="276"/>
      <c r="ED157" s="276"/>
      <c r="EE157" s="276"/>
      <c r="EF157" s="276"/>
      <c r="EG157" s="276"/>
      <c r="EI157" s="277"/>
      <c r="EJ157" s="276"/>
      <c r="EK157" s="276"/>
      <c r="EL157" s="276"/>
      <c r="EM157" s="276"/>
      <c r="EN157" s="276"/>
      <c r="EO157" s="276"/>
      <c r="EP157" s="276"/>
      <c r="ER157" s="277"/>
      <c r="ES157" s="276"/>
      <c r="ET157" s="276"/>
      <c r="EU157" s="276"/>
      <c r="EV157" s="276"/>
      <c r="EW157" s="276"/>
      <c r="EX157" s="276"/>
      <c r="EY157" s="276"/>
      <c r="FA157" s="277"/>
      <c r="FB157" s="276"/>
      <c r="FC157" s="276"/>
    </row>
    <row r="158" spans="2:159" x14ac:dyDescent="0.2">
      <c r="B158" s="85"/>
      <c r="C158" s="134"/>
      <c r="D158" s="134"/>
      <c r="E158" s="134"/>
      <c r="F158" s="134"/>
      <c r="G158" s="134"/>
      <c r="H158" s="135"/>
    </row>
    <row r="159" spans="2:159" ht="15.75" x14ac:dyDescent="0.2">
      <c r="B159" s="131" t="s">
        <v>154</v>
      </c>
      <c r="C159" s="132">
        <v>870</v>
      </c>
      <c r="D159" s="132">
        <v>880</v>
      </c>
      <c r="E159" s="132">
        <v>900</v>
      </c>
      <c r="F159" s="132">
        <v>950</v>
      </c>
      <c r="G159" s="132">
        <v>1080</v>
      </c>
      <c r="H159" s="133">
        <v>1060</v>
      </c>
    </row>
    <row r="160" spans="2:159" s="130" customFormat="1" ht="15.75" x14ac:dyDescent="0.2">
      <c r="B160" s="131" t="s">
        <v>155</v>
      </c>
      <c r="C160" s="132">
        <v>1290</v>
      </c>
      <c r="D160" s="132">
        <v>1300</v>
      </c>
      <c r="E160" s="132">
        <v>1310</v>
      </c>
      <c r="F160" s="132">
        <v>1370</v>
      </c>
      <c r="G160" s="132">
        <v>1740</v>
      </c>
      <c r="H160" s="133">
        <v>1450</v>
      </c>
      <c r="I160" s="276"/>
      <c r="J160" s="276"/>
      <c r="K160" s="276"/>
      <c r="M160" s="277"/>
      <c r="N160" s="276"/>
      <c r="O160" s="276"/>
      <c r="P160" s="276"/>
      <c r="Q160" s="276"/>
      <c r="R160" s="276"/>
      <c r="S160" s="276"/>
      <c r="T160" s="276"/>
      <c r="V160" s="277"/>
      <c r="W160" s="276"/>
      <c r="X160" s="276"/>
      <c r="Y160" s="276"/>
      <c r="Z160" s="276"/>
      <c r="AA160" s="276"/>
      <c r="AB160" s="276"/>
      <c r="AC160" s="276"/>
      <c r="AE160" s="277"/>
      <c r="AF160" s="276"/>
      <c r="AG160" s="276"/>
      <c r="AH160" s="276"/>
      <c r="AI160" s="276"/>
      <c r="AJ160" s="276"/>
      <c r="AK160" s="276"/>
      <c r="AL160" s="276"/>
      <c r="AN160" s="277"/>
      <c r="AO160" s="276"/>
      <c r="AP160" s="276"/>
      <c r="AQ160" s="276"/>
      <c r="AR160" s="276"/>
      <c r="AS160" s="276"/>
      <c r="AT160" s="276"/>
      <c r="AU160" s="276"/>
      <c r="AW160" s="277"/>
      <c r="AX160" s="276"/>
      <c r="AY160" s="276"/>
      <c r="AZ160" s="276"/>
      <c r="BA160" s="276"/>
      <c r="BB160" s="276"/>
      <c r="BC160" s="276"/>
      <c r="BD160" s="276"/>
      <c r="BF160" s="277"/>
      <c r="BG160" s="276"/>
      <c r="BH160" s="276"/>
      <c r="BI160" s="276"/>
      <c r="BJ160" s="276"/>
      <c r="BK160" s="276"/>
      <c r="BL160" s="276"/>
      <c r="BM160" s="276"/>
      <c r="BO160" s="277"/>
      <c r="BP160" s="276"/>
      <c r="BQ160" s="276"/>
      <c r="BR160" s="276"/>
      <c r="BS160" s="276"/>
      <c r="BT160" s="276"/>
      <c r="BU160" s="276"/>
      <c r="BV160" s="276"/>
      <c r="BX160" s="277"/>
      <c r="BY160" s="276"/>
      <c r="BZ160" s="276"/>
      <c r="CA160" s="276"/>
      <c r="CB160" s="276"/>
      <c r="CC160" s="276"/>
      <c r="CD160" s="276"/>
      <c r="CE160" s="276"/>
      <c r="CG160" s="277"/>
      <c r="CH160" s="276"/>
      <c r="CI160" s="276"/>
      <c r="CJ160" s="276"/>
      <c r="CK160" s="276"/>
      <c r="CL160" s="276"/>
      <c r="CM160" s="276"/>
      <c r="CN160" s="276"/>
      <c r="CP160" s="277"/>
      <c r="CQ160" s="276"/>
      <c r="CR160" s="276"/>
      <c r="CS160" s="276"/>
      <c r="CT160" s="276"/>
      <c r="CU160" s="276"/>
      <c r="CV160" s="276"/>
      <c r="CW160" s="276"/>
      <c r="CY160" s="277"/>
      <c r="CZ160" s="276"/>
      <c r="DA160" s="276"/>
      <c r="DB160" s="276"/>
      <c r="DC160" s="276"/>
      <c r="DD160" s="276"/>
      <c r="DE160" s="276"/>
      <c r="DF160" s="276"/>
      <c r="DH160" s="277"/>
      <c r="DI160" s="276"/>
      <c r="DJ160" s="276"/>
      <c r="DK160" s="276"/>
      <c r="DL160" s="276"/>
      <c r="DM160" s="276"/>
      <c r="DN160" s="276"/>
      <c r="DO160" s="276"/>
      <c r="DQ160" s="277"/>
      <c r="DR160" s="276"/>
      <c r="DS160" s="276"/>
      <c r="DT160" s="276"/>
      <c r="DU160" s="276"/>
      <c r="DV160" s="276"/>
      <c r="DW160" s="276"/>
      <c r="DX160" s="276"/>
      <c r="DZ160" s="277"/>
      <c r="EA160" s="276"/>
      <c r="EB160" s="276"/>
      <c r="EC160" s="276"/>
      <c r="ED160" s="276"/>
      <c r="EE160" s="276"/>
      <c r="EF160" s="276"/>
      <c r="EG160" s="276"/>
      <c r="EI160" s="277"/>
      <c r="EJ160" s="276"/>
      <c r="EK160" s="276"/>
      <c r="EL160" s="276"/>
      <c r="EM160" s="276"/>
      <c r="EN160" s="276"/>
      <c r="EO160" s="276"/>
      <c r="EP160" s="276"/>
      <c r="ER160" s="277"/>
      <c r="ES160" s="276"/>
      <c r="ET160" s="276"/>
      <c r="EU160" s="276"/>
      <c r="EV160" s="276"/>
      <c r="EW160" s="276"/>
      <c r="EX160" s="276"/>
      <c r="EY160" s="276"/>
      <c r="FA160" s="277"/>
      <c r="FB160" s="276"/>
      <c r="FC160" s="276"/>
    </row>
    <row r="161" spans="2:159" x14ac:dyDescent="0.2">
      <c r="B161" s="85"/>
      <c r="C161" s="126"/>
      <c r="D161" s="126"/>
      <c r="E161" s="126"/>
      <c r="F161" s="126"/>
      <c r="G161" s="136"/>
      <c r="H161" s="137"/>
      <c r="I161" s="278"/>
      <c r="J161" s="278"/>
      <c r="K161" s="278"/>
      <c r="M161" s="279"/>
      <c r="N161" s="278"/>
      <c r="O161" s="278"/>
      <c r="P161" s="278"/>
      <c r="Q161" s="278"/>
      <c r="R161" s="278"/>
      <c r="S161" s="278"/>
      <c r="T161" s="278"/>
      <c r="V161" s="279"/>
      <c r="W161" s="278"/>
      <c r="X161" s="278"/>
      <c r="Y161" s="278"/>
      <c r="Z161" s="278"/>
      <c r="AA161" s="278"/>
      <c r="AB161" s="278"/>
      <c r="AC161" s="278"/>
      <c r="AE161" s="279"/>
      <c r="AF161" s="278"/>
      <c r="AG161" s="278"/>
      <c r="AH161" s="278"/>
      <c r="AI161" s="278"/>
      <c r="AJ161" s="278"/>
      <c r="AK161" s="278"/>
      <c r="AL161" s="278"/>
      <c r="AN161" s="279"/>
      <c r="AO161" s="278"/>
      <c r="AP161" s="278"/>
      <c r="AQ161" s="278"/>
      <c r="AR161" s="278"/>
      <c r="AS161" s="278"/>
      <c r="AT161" s="278"/>
      <c r="AU161" s="278"/>
      <c r="AW161" s="279"/>
      <c r="AX161" s="278"/>
      <c r="AY161" s="278"/>
      <c r="AZ161" s="278"/>
      <c r="BA161" s="278"/>
      <c r="BB161" s="278"/>
      <c r="BC161" s="278"/>
      <c r="BD161" s="278"/>
      <c r="BF161" s="279"/>
      <c r="BG161" s="278"/>
      <c r="BH161" s="278"/>
      <c r="BI161" s="278"/>
      <c r="BJ161" s="278"/>
      <c r="BK161" s="278"/>
      <c r="BL161" s="278"/>
      <c r="BM161" s="278"/>
      <c r="BO161" s="279"/>
      <c r="BP161" s="278"/>
      <c r="BQ161" s="278"/>
      <c r="BR161" s="278"/>
      <c r="BS161" s="278"/>
      <c r="BT161" s="278"/>
      <c r="BU161" s="278"/>
      <c r="BV161" s="278"/>
      <c r="BX161" s="279"/>
      <c r="BY161" s="278"/>
      <c r="BZ161" s="278"/>
      <c r="CA161" s="278"/>
      <c r="CB161" s="278"/>
      <c r="CC161" s="278"/>
      <c r="CD161" s="278"/>
      <c r="CE161" s="278"/>
      <c r="CG161" s="279"/>
      <c r="CH161" s="278"/>
      <c r="CI161" s="278"/>
      <c r="CJ161" s="278"/>
      <c r="CK161" s="278"/>
      <c r="CL161" s="278"/>
      <c r="CM161" s="278"/>
      <c r="CN161" s="278"/>
      <c r="CP161" s="279"/>
      <c r="CQ161" s="278"/>
      <c r="CR161" s="278"/>
      <c r="CS161" s="278"/>
      <c r="CT161" s="278"/>
      <c r="CU161" s="278"/>
      <c r="CV161" s="278"/>
      <c r="CW161" s="278"/>
      <c r="CY161" s="279"/>
      <c r="CZ161" s="278"/>
      <c r="DA161" s="278"/>
      <c r="DB161" s="278"/>
      <c r="DC161" s="278"/>
      <c r="DD161" s="278"/>
      <c r="DE161" s="278"/>
      <c r="DF161" s="278"/>
      <c r="DH161" s="279"/>
      <c r="DI161" s="278"/>
      <c r="DJ161" s="278"/>
      <c r="DK161" s="278"/>
      <c r="DL161" s="278"/>
      <c r="DM161" s="278"/>
      <c r="DN161" s="278"/>
      <c r="DO161" s="278"/>
      <c r="DQ161" s="279"/>
      <c r="DR161" s="278"/>
      <c r="DS161" s="278"/>
      <c r="DT161" s="278"/>
      <c r="DU161" s="278"/>
      <c r="DV161" s="278"/>
      <c r="DW161" s="278"/>
      <c r="DX161" s="278"/>
      <c r="DZ161" s="279"/>
      <c r="EA161" s="278"/>
      <c r="EB161" s="278"/>
      <c r="EC161" s="278"/>
      <c r="ED161" s="278"/>
      <c r="EE161" s="278"/>
      <c r="EF161" s="278"/>
      <c r="EG161" s="278"/>
      <c r="EI161" s="279"/>
      <c r="EJ161" s="278"/>
      <c r="EK161" s="278"/>
      <c r="EL161" s="278"/>
      <c r="EM161" s="278"/>
      <c r="EN161" s="278"/>
      <c r="EO161" s="278"/>
      <c r="EP161" s="278"/>
      <c r="ER161" s="279"/>
      <c r="ES161" s="278"/>
      <c r="ET161" s="278"/>
      <c r="EU161" s="278"/>
      <c r="EV161" s="278"/>
      <c r="EW161" s="278"/>
      <c r="EX161" s="278"/>
      <c r="EY161" s="278"/>
      <c r="FA161" s="279"/>
      <c r="FB161" s="278"/>
      <c r="FC161" s="278"/>
    </row>
    <row r="162" spans="2:159" ht="15" hidden="1" customHeight="1" x14ac:dyDescent="0.2">
      <c r="B162" s="85"/>
      <c r="C162" s="126"/>
      <c r="D162" s="126"/>
      <c r="E162" s="126"/>
      <c r="F162" s="126"/>
      <c r="G162" s="136"/>
      <c r="H162" s="137"/>
      <c r="I162" s="278"/>
      <c r="J162" s="278"/>
      <c r="K162" s="278"/>
      <c r="M162" s="279"/>
      <c r="N162" s="278"/>
      <c r="O162" s="278"/>
      <c r="P162" s="278"/>
      <c r="Q162" s="278"/>
      <c r="R162" s="278"/>
      <c r="S162" s="278"/>
      <c r="T162" s="278"/>
      <c r="V162" s="279"/>
      <c r="W162" s="278"/>
      <c r="X162" s="278"/>
      <c r="Y162" s="278"/>
      <c r="Z162" s="278"/>
      <c r="AA162" s="278"/>
      <c r="AB162" s="278"/>
      <c r="AC162" s="278"/>
      <c r="AE162" s="279"/>
      <c r="AF162" s="278"/>
      <c r="AG162" s="278"/>
      <c r="AH162" s="278"/>
      <c r="AI162" s="278"/>
      <c r="AJ162" s="278"/>
      <c r="AK162" s="278"/>
      <c r="AL162" s="278"/>
      <c r="AN162" s="279"/>
      <c r="AO162" s="278"/>
      <c r="AP162" s="278"/>
      <c r="AQ162" s="278"/>
      <c r="AR162" s="278"/>
      <c r="AS162" s="278"/>
      <c r="AT162" s="278"/>
      <c r="AU162" s="278"/>
      <c r="AW162" s="279"/>
      <c r="AX162" s="278"/>
      <c r="AY162" s="278"/>
      <c r="AZ162" s="278"/>
      <c r="BA162" s="278"/>
      <c r="BB162" s="278"/>
      <c r="BC162" s="278"/>
      <c r="BD162" s="278"/>
      <c r="BF162" s="279"/>
      <c r="BG162" s="278"/>
      <c r="BH162" s="278"/>
      <c r="BI162" s="278"/>
      <c r="BJ162" s="278"/>
      <c r="BK162" s="278"/>
      <c r="BL162" s="278"/>
      <c r="BM162" s="278"/>
      <c r="BO162" s="279"/>
      <c r="BP162" s="278"/>
      <c r="BQ162" s="278"/>
      <c r="BR162" s="278"/>
      <c r="BS162" s="278"/>
      <c r="BT162" s="278"/>
      <c r="BU162" s="278"/>
      <c r="BV162" s="278"/>
      <c r="BX162" s="279"/>
      <c r="BY162" s="278"/>
      <c r="BZ162" s="278"/>
      <c r="CA162" s="278"/>
      <c r="CB162" s="278"/>
      <c r="CC162" s="278"/>
      <c r="CD162" s="278"/>
      <c r="CE162" s="278"/>
      <c r="CG162" s="279"/>
      <c r="CH162" s="278"/>
      <c r="CI162" s="278"/>
      <c r="CJ162" s="278"/>
      <c r="CK162" s="278"/>
      <c r="CL162" s="278"/>
      <c r="CM162" s="278"/>
      <c r="CN162" s="278"/>
      <c r="CP162" s="279"/>
      <c r="CQ162" s="278"/>
      <c r="CR162" s="278"/>
      <c r="CS162" s="278"/>
      <c r="CT162" s="278"/>
      <c r="CU162" s="278"/>
      <c r="CV162" s="278"/>
      <c r="CW162" s="278"/>
      <c r="CY162" s="279"/>
      <c r="CZ162" s="278"/>
      <c r="DA162" s="278"/>
      <c r="DB162" s="278"/>
      <c r="DC162" s="278"/>
      <c r="DD162" s="278"/>
      <c r="DE162" s="278"/>
      <c r="DF162" s="278"/>
      <c r="DH162" s="279"/>
      <c r="DI162" s="278"/>
      <c r="DJ162" s="278"/>
      <c r="DK162" s="278"/>
      <c r="DL162" s="278"/>
      <c r="DM162" s="278"/>
      <c r="DN162" s="278"/>
      <c r="DO162" s="278"/>
      <c r="DQ162" s="279"/>
      <c r="DR162" s="278"/>
      <c r="DS162" s="278"/>
      <c r="DT162" s="278"/>
      <c r="DU162" s="278"/>
      <c r="DV162" s="278"/>
      <c r="DW162" s="278"/>
      <c r="DX162" s="278"/>
      <c r="DZ162" s="279"/>
      <c r="EA162" s="278"/>
      <c r="EB162" s="278"/>
      <c r="EC162" s="278"/>
      <c r="ED162" s="278"/>
      <c r="EE162" s="278"/>
      <c r="EF162" s="278"/>
      <c r="EG162" s="278"/>
      <c r="EI162" s="279"/>
      <c r="EJ162" s="278"/>
      <c r="EK162" s="278"/>
      <c r="EL162" s="278"/>
      <c r="EM162" s="278"/>
      <c r="EN162" s="278"/>
      <c r="EO162" s="278"/>
      <c r="EP162" s="278"/>
      <c r="ER162" s="279"/>
      <c r="ES162" s="278"/>
      <c r="ET162" s="278"/>
      <c r="EU162" s="278"/>
      <c r="EV162" s="278"/>
      <c r="EW162" s="278"/>
      <c r="EX162" s="278"/>
      <c r="EY162" s="278"/>
      <c r="FA162" s="279"/>
      <c r="FB162" s="278"/>
      <c r="FC162" s="278"/>
    </row>
    <row r="163" spans="2:159" ht="15" hidden="1" customHeight="1" x14ac:dyDescent="0.2">
      <c r="B163" s="85"/>
      <c r="C163" s="126"/>
      <c r="D163" s="126"/>
      <c r="E163" s="126"/>
      <c r="F163" s="126"/>
      <c r="G163" s="136"/>
      <c r="H163" s="137"/>
      <c r="I163" s="278"/>
      <c r="J163" s="278"/>
      <c r="K163" s="278"/>
      <c r="M163" s="279"/>
      <c r="N163" s="278"/>
      <c r="O163" s="278"/>
      <c r="P163" s="278"/>
      <c r="Q163" s="278"/>
      <c r="R163" s="278"/>
      <c r="S163" s="278"/>
      <c r="T163" s="278"/>
      <c r="V163" s="279"/>
      <c r="W163" s="278"/>
      <c r="X163" s="278"/>
      <c r="Y163" s="278"/>
      <c r="Z163" s="278"/>
      <c r="AA163" s="278"/>
      <c r="AB163" s="278"/>
      <c r="AC163" s="278"/>
      <c r="AE163" s="279"/>
      <c r="AF163" s="278"/>
      <c r="AG163" s="278"/>
      <c r="AH163" s="278"/>
      <c r="AI163" s="278"/>
      <c r="AJ163" s="278"/>
      <c r="AK163" s="278"/>
      <c r="AL163" s="278"/>
      <c r="AN163" s="279"/>
      <c r="AO163" s="278"/>
      <c r="AP163" s="278"/>
      <c r="AQ163" s="278"/>
      <c r="AR163" s="278"/>
      <c r="AS163" s="278"/>
      <c r="AT163" s="278"/>
      <c r="AU163" s="278"/>
      <c r="AW163" s="279"/>
      <c r="AX163" s="278"/>
      <c r="AY163" s="278"/>
      <c r="AZ163" s="278"/>
      <c r="BA163" s="278"/>
      <c r="BB163" s="278"/>
      <c r="BC163" s="278"/>
      <c r="BD163" s="278"/>
      <c r="BF163" s="279"/>
      <c r="BG163" s="278"/>
      <c r="BH163" s="278"/>
      <c r="BI163" s="278"/>
      <c r="BJ163" s="278"/>
      <c r="BK163" s="278"/>
      <c r="BL163" s="278"/>
      <c r="BM163" s="278"/>
      <c r="BO163" s="279"/>
      <c r="BP163" s="278"/>
      <c r="BQ163" s="278"/>
      <c r="BR163" s="278"/>
      <c r="BS163" s="278"/>
      <c r="BT163" s="278"/>
      <c r="BU163" s="278"/>
      <c r="BV163" s="278"/>
      <c r="BX163" s="279"/>
      <c r="BY163" s="278"/>
      <c r="BZ163" s="278"/>
      <c r="CA163" s="278"/>
      <c r="CB163" s="278"/>
      <c r="CC163" s="278"/>
      <c r="CD163" s="278"/>
      <c r="CE163" s="278"/>
      <c r="CG163" s="279"/>
      <c r="CH163" s="278"/>
      <c r="CI163" s="278"/>
      <c r="CJ163" s="278"/>
      <c r="CK163" s="278"/>
      <c r="CL163" s="278"/>
      <c r="CM163" s="278"/>
      <c r="CN163" s="278"/>
      <c r="CP163" s="279"/>
      <c r="CQ163" s="278"/>
      <c r="CR163" s="278"/>
      <c r="CS163" s="278"/>
      <c r="CT163" s="278"/>
      <c r="CU163" s="278"/>
      <c r="CV163" s="278"/>
      <c r="CW163" s="278"/>
      <c r="CY163" s="279"/>
      <c r="CZ163" s="278"/>
      <c r="DA163" s="278"/>
      <c r="DB163" s="278"/>
      <c r="DC163" s="278"/>
      <c r="DD163" s="278"/>
      <c r="DE163" s="278"/>
      <c r="DF163" s="278"/>
      <c r="DH163" s="279"/>
      <c r="DI163" s="278"/>
      <c r="DJ163" s="278"/>
      <c r="DK163" s="278"/>
      <c r="DL163" s="278"/>
      <c r="DM163" s="278"/>
      <c r="DN163" s="278"/>
      <c r="DO163" s="278"/>
      <c r="DQ163" s="279"/>
      <c r="DR163" s="278"/>
      <c r="DS163" s="278"/>
      <c r="DT163" s="278"/>
      <c r="DU163" s="278"/>
      <c r="DV163" s="278"/>
      <c r="DW163" s="278"/>
      <c r="DX163" s="278"/>
      <c r="DZ163" s="279"/>
      <c r="EA163" s="278"/>
      <c r="EB163" s="278"/>
      <c r="EC163" s="278"/>
      <c r="ED163" s="278"/>
      <c r="EE163" s="278"/>
      <c r="EF163" s="278"/>
      <c r="EG163" s="278"/>
      <c r="EI163" s="279"/>
      <c r="EJ163" s="278"/>
      <c r="EK163" s="278"/>
      <c r="EL163" s="278"/>
      <c r="EM163" s="278"/>
      <c r="EN163" s="278"/>
      <c r="EO163" s="278"/>
      <c r="EP163" s="278"/>
      <c r="ER163" s="279"/>
      <c r="ES163" s="278"/>
      <c r="ET163" s="278"/>
      <c r="EU163" s="278"/>
      <c r="EV163" s="278"/>
      <c r="EW163" s="278"/>
      <c r="EX163" s="278"/>
      <c r="EY163" s="278"/>
      <c r="FA163" s="279"/>
      <c r="FB163" s="278"/>
      <c r="FC163" s="278"/>
    </row>
    <row r="164" spans="2:159" ht="15" hidden="1" customHeight="1" x14ac:dyDescent="0.2">
      <c r="B164" s="85"/>
      <c r="C164" s="126"/>
      <c r="D164" s="126"/>
      <c r="E164" s="126"/>
      <c r="F164" s="126"/>
      <c r="G164" s="136"/>
      <c r="H164" s="137"/>
      <c r="I164" s="278"/>
      <c r="J164" s="278"/>
      <c r="K164" s="278"/>
      <c r="M164" s="279"/>
      <c r="N164" s="278"/>
      <c r="O164" s="278"/>
      <c r="P164" s="278"/>
      <c r="Q164" s="278"/>
      <c r="R164" s="278"/>
      <c r="S164" s="278"/>
      <c r="T164" s="278"/>
      <c r="V164" s="279"/>
      <c r="W164" s="278"/>
      <c r="X164" s="278"/>
      <c r="Y164" s="278"/>
      <c r="Z164" s="278"/>
      <c r="AA164" s="278"/>
      <c r="AB164" s="278"/>
      <c r="AC164" s="278"/>
      <c r="AE164" s="279"/>
      <c r="AF164" s="278"/>
      <c r="AG164" s="278"/>
      <c r="AH164" s="278"/>
      <c r="AI164" s="278"/>
      <c r="AJ164" s="278"/>
      <c r="AK164" s="278"/>
      <c r="AL164" s="278"/>
      <c r="AN164" s="279"/>
      <c r="AO164" s="278"/>
      <c r="AP164" s="278"/>
      <c r="AQ164" s="278"/>
      <c r="AR164" s="278"/>
      <c r="AS164" s="278"/>
      <c r="AT164" s="278"/>
      <c r="AU164" s="278"/>
      <c r="AW164" s="279"/>
      <c r="AX164" s="278"/>
      <c r="AY164" s="278"/>
      <c r="AZ164" s="278"/>
      <c r="BA164" s="278"/>
      <c r="BB164" s="278"/>
      <c r="BC164" s="278"/>
      <c r="BD164" s="278"/>
      <c r="BF164" s="279"/>
      <c r="BG164" s="278"/>
      <c r="BH164" s="278"/>
      <c r="BI164" s="278"/>
      <c r="BJ164" s="278"/>
      <c r="BK164" s="278"/>
      <c r="BL164" s="278"/>
      <c r="BM164" s="278"/>
      <c r="BO164" s="279"/>
      <c r="BP164" s="278"/>
      <c r="BQ164" s="278"/>
      <c r="BR164" s="278"/>
      <c r="BS164" s="278"/>
      <c r="BT164" s="278"/>
      <c r="BU164" s="278"/>
      <c r="BV164" s="278"/>
      <c r="BX164" s="279"/>
      <c r="BY164" s="278"/>
      <c r="BZ164" s="278"/>
      <c r="CA164" s="278"/>
      <c r="CB164" s="278"/>
      <c r="CC164" s="278"/>
      <c r="CD164" s="278"/>
      <c r="CE164" s="278"/>
      <c r="CG164" s="279"/>
      <c r="CH164" s="278"/>
      <c r="CI164" s="278"/>
      <c r="CJ164" s="278"/>
      <c r="CK164" s="278"/>
      <c r="CL164" s="278"/>
      <c r="CM164" s="278"/>
      <c r="CN164" s="278"/>
      <c r="CP164" s="279"/>
      <c r="CQ164" s="278"/>
      <c r="CR164" s="278"/>
      <c r="CS164" s="278"/>
      <c r="CT164" s="278"/>
      <c r="CU164" s="278"/>
      <c r="CV164" s="278"/>
      <c r="CW164" s="278"/>
      <c r="CY164" s="279"/>
      <c r="CZ164" s="278"/>
      <c r="DA164" s="278"/>
      <c r="DB164" s="278"/>
      <c r="DC164" s="278"/>
      <c r="DD164" s="278"/>
      <c r="DE164" s="278"/>
      <c r="DF164" s="278"/>
      <c r="DH164" s="279"/>
      <c r="DI164" s="278"/>
      <c r="DJ164" s="278"/>
      <c r="DK164" s="278"/>
      <c r="DL164" s="278"/>
      <c r="DM164" s="278"/>
      <c r="DN164" s="278"/>
      <c r="DO164" s="278"/>
      <c r="DQ164" s="279"/>
      <c r="DR164" s="278"/>
      <c r="DS164" s="278"/>
      <c r="DT164" s="278"/>
      <c r="DU164" s="278"/>
      <c r="DV164" s="278"/>
      <c r="DW164" s="278"/>
      <c r="DX164" s="278"/>
      <c r="DZ164" s="279"/>
      <c r="EA164" s="278"/>
      <c r="EB164" s="278"/>
      <c r="EC164" s="278"/>
      <c r="ED164" s="278"/>
      <c r="EE164" s="278"/>
      <c r="EF164" s="278"/>
      <c r="EG164" s="278"/>
      <c r="EI164" s="279"/>
      <c r="EJ164" s="278"/>
      <c r="EK164" s="278"/>
      <c r="EL164" s="278"/>
      <c r="EM164" s="278"/>
      <c r="EN164" s="278"/>
      <c r="EO164" s="278"/>
      <c r="EP164" s="278"/>
      <c r="ER164" s="279"/>
      <c r="ES164" s="278"/>
      <c r="ET164" s="278"/>
      <c r="EU164" s="278"/>
      <c r="EV164" s="278"/>
      <c r="EW164" s="278"/>
      <c r="EX164" s="278"/>
      <c r="EY164" s="278"/>
      <c r="FA164" s="279"/>
      <c r="FB164" s="278"/>
      <c r="FC164" s="278"/>
    </row>
    <row r="165" spans="2:159" ht="15.75" x14ac:dyDescent="0.2">
      <c r="B165" s="107" t="s">
        <v>156</v>
      </c>
      <c r="C165" s="126"/>
      <c r="D165" s="126"/>
      <c r="E165" s="126"/>
      <c r="F165" s="126"/>
      <c r="G165" s="136"/>
      <c r="H165" s="137"/>
      <c r="I165" s="278"/>
      <c r="J165" s="278"/>
      <c r="K165" s="278"/>
      <c r="M165" s="279"/>
      <c r="N165" s="278"/>
      <c r="O165" s="278"/>
      <c r="P165" s="278"/>
      <c r="Q165" s="278"/>
      <c r="R165" s="278"/>
      <c r="S165" s="278"/>
      <c r="T165" s="278"/>
      <c r="V165" s="279"/>
      <c r="W165" s="278"/>
      <c r="X165" s="278"/>
      <c r="Y165" s="278"/>
      <c r="Z165" s="278"/>
      <c r="AA165" s="278"/>
      <c r="AB165" s="278"/>
      <c r="AC165" s="278"/>
      <c r="AE165" s="279"/>
      <c r="AF165" s="278"/>
      <c r="AG165" s="278"/>
      <c r="AH165" s="278"/>
      <c r="AI165" s="278"/>
      <c r="AJ165" s="278"/>
      <c r="AK165" s="278"/>
      <c r="AL165" s="278"/>
      <c r="AN165" s="279"/>
      <c r="AO165" s="278"/>
      <c r="AP165" s="278"/>
      <c r="AQ165" s="278"/>
      <c r="AR165" s="278"/>
      <c r="AS165" s="278"/>
      <c r="AT165" s="278"/>
      <c r="AU165" s="278"/>
      <c r="AW165" s="279"/>
      <c r="AX165" s="278"/>
      <c r="AY165" s="278"/>
      <c r="AZ165" s="278"/>
      <c r="BA165" s="278"/>
      <c r="BB165" s="278"/>
      <c r="BC165" s="278"/>
      <c r="BD165" s="278"/>
      <c r="BF165" s="279"/>
      <c r="BG165" s="278"/>
      <c r="BH165" s="278"/>
      <c r="BI165" s="278"/>
      <c r="BJ165" s="278"/>
      <c r="BK165" s="278"/>
      <c r="BL165" s="278"/>
      <c r="BM165" s="278"/>
      <c r="BO165" s="279"/>
      <c r="BP165" s="278"/>
      <c r="BQ165" s="278"/>
      <c r="BR165" s="278"/>
      <c r="BS165" s="278"/>
      <c r="BT165" s="278"/>
      <c r="BU165" s="278"/>
      <c r="BV165" s="278"/>
      <c r="BX165" s="279"/>
      <c r="BY165" s="278"/>
      <c r="BZ165" s="278"/>
      <c r="CA165" s="278"/>
      <c r="CB165" s="278"/>
      <c r="CC165" s="278"/>
      <c r="CD165" s="278"/>
      <c r="CE165" s="278"/>
      <c r="CG165" s="279"/>
      <c r="CH165" s="278"/>
      <c r="CI165" s="278"/>
      <c r="CJ165" s="278"/>
      <c r="CK165" s="278"/>
      <c r="CL165" s="278"/>
      <c r="CM165" s="278"/>
      <c r="CN165" s="278"/>
      <c r="CP165" s="279"/>
      <c r="CQ165" s="278"/>
      <c r="CR165" s="278"/>
      <c r="CS165" s="278"/>
      <c r="CT165" s="278"/>
      <c r="CU165" s="278"/>
      <c r="CV165" s="278"/>
      <c r="CW165" s="278"/>
      <c r="CY165" s="279"/>
      <c r="CZ165" s="278"/>
      <c r="DA165" s="278"/>
      <c r="DB165" s="278"/>
      <c r="DC165" s="278"/>
      <c r="DD165" s="278"/>
      <c r="DE165" s="278"/>
      <c r="DF165" s="278"/>
      <c r="DH165" s="279"/>
      <c r="DI165" s="278"/>
      <c r="DJ165" s="278"/>
      <c r="DK165" s="278"/>
      <c r="DL165" s="278"/>
      <c r="DM165" s="278"/>
      <c r="DN165" s="278"/>
      <c r="DO165" s="278"/>
      <c r="DQ165" s="279"/>
      <c r="DR165" s="278"/>
      <c r="DS165" s="278"/>
      <c r="DT165" s="278"/>
      <c r="DU165" s="278"/>
      <c r="DV165" s="278"/>
      <c r="DW165" s="278"/>
      <c r="DX165" s="278"/>
      <c r="DZ165" s="279"/>
      <c r="EA165" s="278"/>
      <c r="EB165" s="278"/>
      <c r="EC165" s="278"/>
      <c r="ED165" s="278"/>
      <c r="EE165" s="278"/>
      <c r="EF165" s="278"/>
      <c r="EG165" s="278"/>
      <c r="EI165" s="279"/>
      <c r="EJ165" s="278"/>
      <c r="EK165" s="278"/>
      <c r="EL165" s="278"/>
      <c r="EM165" s="278"/>
      <c r="EN165" s="278"/>
      <c r="EO165" s="278"/>
      <c r="EP165" s="278"/>
      <c r="ER165" s="279"/>
      <c r="ES165" s="278"/>
      <c r="ET165" s="278"/>
      <c r="EU165" s="278"/>
      <c r="EV165" s="278"/>
      <c r="EW165" s="278"/>
      <c r="EX165" s="278"/>
      <c r="EY165" s="278"/>
      <c r="FA165" s="279"/>
      <c r="FB165" s="278"/>
      <c r="FC165" s="278"/>
    </row>
    <row r="166" spans="2:159" x14ac:dyDescent="0.2">
      <c r="B166" s="78" t="s">
        <v>157</v>
      </c>
      <c r="C166" s="138">
        <v>0.9</v>
      </c>
      <c r="D166" s="138">
        <v>1</v>
      </c>
      <c r="E166" s="138">
        <v>1.3</v>
      </c>
      <c r="F166" s="138">
        <v>1.3</v>
      </c>
      <c r="G166" s="138">
        <v>1.7</v>
      </c>
      <c r="H166" s="139">
        <v>1.5</v>
      </c>
    </row>
    <row r="167" spans="2:159" x14ac:dyDescent="0.2">
      <c r="B167" s="78" t="s">
        <v>158</v>
      </c>
      <c r="C167" s="138">
        <v>1.1000000000000001</v>
      </c>
      <c r="D167" s="138">
        <v>1.1000000000000001</v>
      </c>
      <c r="E167" s="138">
        <v>1.1000000000000001</v>
      </c>
      <c r="F167" s="138">
        <v>1.1000000000000001</v>
      </c>
      <c r="G167" s="138">
        <v>1.1000000000000001</v>
      </c>
      <c r="H167" s="139">
        <v>1.1000000000000001</v>
      </c>
    </row>
    <row r="168" spans="2:159" x14ac:dyDescent="0.2">
      <c r="B168" s="78" t="s">
        <v>159</v>
      </c>
      <c r="C168" s="126">
        <v>0.33</v>
      </c>
      <c r="D168" s="126">
        <v>0.33</v>
      </c>
      <c r="E168" s="126">
        <v>0.33</v>
      </c>
      <c r="F168" s="126">
        <v>0.33</v>
      </c>
      <c r="G168" s="126">
        <v>4.05</v>
      </c>
      <c r="H168" s="127">
        <v>0.39</v>
      </c>
    </row>
    <row r="169" spans="2:159" x14ac:dyDescent="0.2">
      <c r="B169" s="78" t="s">
        <v>160</v>
      </c>
      <c r="C169" s="126">
        <v>1.0857600000000001</v>
      </c>
      <c r="D169" s="126">
        <v>1.1034000000000002</v>
      </c>
      <c r="E169" s="126">
        <v>1.1259000000000001</v>
      </c>
      <c r="F169" s="126">
        <v>1.1930400000000001</v>
      </c>
      <c r="G169" s="126">
        <v>1.3585199999999999</v>
      </c>
      <c r="H169" s="127">
        <v>1.3405199999999999</v>
      </c>
    </row>
    <row r="170" spans="2:159" x14ac:dyDescent="0.2">
      <c r="B170" s="78"/>
      <c r="C170" s="138"/>
      <c r="D170" s="126"/>
      <c r="E170" s="126"/>
      <c r="F170" s="126"/>
      <c r="G170" s="126"/>
      <c r="H170" s="127"/>
    </row>
    <row r="171" spans="2:159" ht="15.75" x14ac:dyDescent="0.2">
      <c r="B171" s="107" t="s">
        <v>353</v>
      </c>
      <c r="C171" s="126"/>
      <c r="D171" s="126"/>
      <c r="E171" s="126"/>
      <c r="F171" s="126"/>
      <c r="G171" s="136"/>
      <c r="H171" s="137"/>
      <c r="I171" s="278"/>
      <c r="J171" s="278"/>
      <c r="K171" s="278"/>
      <c r="M171" s="279"/>
      <c r="N171" s="278"/>
      <c r="O171" s="278"/>
      <c r="P171" s="278"/>
      <c r="Q171" s="278"/>
      <c r="R171" s="278"/>
      <c r="S171" s="278"/>
      <c r="T171" s="278"/>
      <c r="V171" s="279"/>
      <c r="W171" s="278"/>
      <c r="X171" s="278"/>
      <c r="Y171" s="278"/>
      <c r="Z171" s="278"/>
      <c r="AA171" s="278"/>
      <c r="AB171" s="278"/>
      <c r="AC171" s="278"/>
      <c r="AE171" s="279"/>
      <c r="AF171" s="278"/>
      <c r="AG171" s="278"/>
      <c r="AH171" s="278"/>
      <c r="AI171" s="278"/>
      <c r="AJ171" s="278"/>
      <c r="AK171" s="278"/>
      <c r="AL171" s="278"/>
      <c r="AN171" s="279"/>
      <c r="AO171" s="278"/>
      <c r="AP171" s="278"/>
      <c r="AQ171" s="278"/>
      <c r="AR171" s="278"/>
      <c r="AS171" s="278"/>
      <c r="AT171" s="278"/>
      <c r="AU171" s="278"/>
      <c r="AW171" s="279"/>
      <c r="AX171" s="278"/>
      <c r="AY171" s="278"/>
      <c r="AZ171" s="278"/>
      <c r="BA171" s="278"/>
      <c r="BB171" s="278"/>
      <c r="BC171" s="278"/>
      <c r="BD171" s="278"/>
      <c r="BF171" s="279"/>
      <c r="BG171" s="278"/>
      <c r="BH171" s="278"/>
      <c r="BI171" s="278"/>
      <c r="BJ171" s="278"/>
      <c r="BK171" s="278"/>
      <c r="BL171" s="278"/>
      <c r="BM171" s="278"/>
      <c r="BO171" s="279"/>
      <c r="BP171" s="278"/>
      <c r="BQ171" s="278"/>
      <c r="BR171" s="278"/>
      <c r="BS171" s="278"/>
      <c r="BT171" s="278"/>
      <c r="BU171" s="278"/>
      <c r="BV171" s="278"/>
      <c r="BX171" s="279"/>
      <c r="BY171" s="278"/>
      <c r="BZ171" s="278"/>
      <c r="CA171" s="278"/>
      <c r="CB171" s="278"/>
      <c r="CC171" s="278"/>
      <c r="CD171" s="278"/>
      <c r="CE171" s="278"/>
      <c r="CG171" s="279"/>
      <c r="CH171" s="278"/>
      <c r="CI171" s="278"/>
      <c r="CJ171" s="278"/>
      <c r="CK171" s="278"/>
      <c r="CL171" s="278"/>
      <c r="CM171" s="278"/>
      <c r="CN171" s="278"/>
      <c r="CP171" s="279"/>
      <c r="CQ171" s="278"/>
      <c r="CR171" s="278"/>
      <c r="CS171" s="278"/>
      <c r="CT171" s="278"/>
      <c r="CU171" s="278"/>
      <c r="CV171" s="278"/>
      <c r="CW171" s="278"/>
      <c r="CY171" s="279"/>
      <c r="CZ171" s="278"/>
      <c r="DA171" s="278"/>
      <c r="DB171" s="278"/>
      <c r="DC171" s="278"/>
      <c r="DD171" s="278"/>
      <c r="DE171" s="278"/>
      <c r="DF171" s="278"/>
      <c r="DH171" s="279"/>
      <c r="DI171" s="278"/>
      <c r="DJ171" s="278"/>
      <c r="DK171" s="278"/>
      <c r="DL171" s="278"/>
      <c r="DM171" s="278"/>
      <c r="DN171" s="278"/>
      <c r="DO171" s="278"/>
      <c r="DQ171" s="279"/>
      <c r="DR171" s="278"/>
      <c r="DS171" s="278"/>
      <c r="DT171" s="278"/>
      <c r="DU171" s="278"/>
      <c r="DV171" s="278"/>
      <c r="DW171" s="278"/>
      <c r="DX171" s="278"/>
      <c r="DZ171" s="279"/>
      <c r="EA171" s="278"/>
      <c r="EB171" s="278"/>
      <c r="EC171" s="278"/>
      <c r="ED171" s="278"/>
      <c r="EE171" s="278"/>
      <c r="EF171" s="278"/>
      <c r="EG171" s="278"/>
      <c r="EI171" s="279"/>
      <c r="EJ171" s="278"/>
      <c r="EK171" s="278"/>
      <c r="EL171" s="278"/>
      <c r="EM171" s="278"/>
      <c r="EN171" s="278"/>
      <c r="EO171" s="278"/>
      <c r="EP171" s="278"/>
      <c r="ER171" s="279"/>
      <c r="ES171" s="278"/>
      <c r="ET171" s="278"/>
      <c r="EU171" s="278"/>
      <c r="EV171" s="278"/>
      <c r="EW171" s="278"/>
      <c r="EX171" s="278"/>
      <c r="EY171" s="278"/>
      <c r="FA171" s="279"/>
      <c r="FB171" s="278"/>
      <c r="FC171" s="278"/>
    </row>
    <row r="172" spans="2:159" x14ac:dyDescent="0.2">
      <c r="B172" s="78" t="s">
        <v>157</v>
      </c>
      <c r="C172" s="142">
        <v>0.9</v>
      </c>
      <c r="D172" s="142">
        <v>1</v>
      </c>
      <c r="E172" s="142">
        <v>1.3</v>
      </c>
      <c r="F172" s="142">
        <v>1.3</v>
      </c>
      <c r="G172" s="138">
        <v>1.7</v>
      </c>
      <c r="H172" s="139">
        <v>1.5</v>
      </c>
    </row>
    <row r="173" spans="2:159" x14ac:dyDescent="0.2">
      <c r="B173" s="78" t="s">
        <v>158</v>
      </c>
      <c r="C173" s="142">
        <v>1.1000000000000001</v>
      </c>
      <c r="D173" s="142">
        <v>1.1000000000000001</v>
      </c>
      <c r="E173" s="142">
        <v>1.1000000000000001</v>
      </c>
      <c r="F173" s="142">
        <v>1.1000000000000001</v>
      </c>
      <c r="G173" s="138">
        <v>1.1000000000000001</v>
      </c>
      <c r="H173" s="139">
        <v>1.1000000000000001</v>
      </c>
    </row>
    <row r="174" spans="2:159" x14ac:dyDescent="0.2">
      <c r="B174" s="78" t="s">
        <v>207</v>
      </c>
      <c r="C174" s="142">
        <v>0.33</v>
      </c>
      <c r="D174" s="142">
        <v>0.33</v>
      </c>
      <c r="E174" s="142">
        <v>0.33</v>
      </c>
      <c r="F174" s="142">
        <v>0.33</v>
      </c>
      <c r="G174" s="126">
        <v>4.05</v>
      </c>
      <c r="H174" s="127">
        <v>0.39</v>
      </c>
    </row>
    <row r="175" spans="2:159" x14ac:dyDescent="0.2">
      <c r="B175" s="78" t="s">
        <v>160</v>
      </c>
      <c r="C175" s="142">
        <v>1.0857600000000001</v>
      </c>
      <c r="D175" s="142">
        <v>1.1034000000000002</v>
      </c>
      <c r="E175" s="142">
        <v>1.1259000000000001</v>
      </c>
      <c r="F175" s="142">
        <v>1.1930400000000001</v>
      </c>
      <c r="G175" s="126">
        <v>1.3585199999999999</v>
      </c>
      <c r="H175" s="127">
        <v>1.3405199999999999</v>
      </c>
    </row>
    <row r="176" spans="2:159" x14ac:dyDescent="0.2">
      <c r="B176" s="78"/>
      <c r="C176" s="138"/>
      <c r="D176" s="126"/>
      <c r="E176" s="126"/>
      <c r="F176" s="126"/>
      <c r="G176" s="126"/>
      <c r="H176" s="127"/>
    </row>
    <row r="177" spans="2:8" ht="15.75" x14ac:dyDescent="0.2">
      <c r="B177" s="140" t="s">
        <v>161</v>
      </c>
      <c r="C177" s="126"/>
      <c r="D177" s="126"/>
      <c r="E177" s="126"/>
      <c r="F177" s="126"/>
      <c r="G177" s="126"/>
      <c r="H177" s="127"/>
    </row>
    <row r="178" spans="2:8" x14ac:dyDescent="0.2">
      <c r="B178" s="141" t="s">
        <v>162</v>
      </c>
      <c r="C178" s="123">
        <v>350</v>
      </c>
      <c r="D178" s="123">
        <v>350</v>
      </c>
      <c r="E178" s="123">
        <v>350</v>
      </c>
      <c r="F178" s="123">
        <v>350</v>
      </c>
      <c r="G178" s="123">
        <v>350</v>
      </c>
      <c r="H178" s="124">
        <v>350</v>
      </c>
    </row>
    <row r="179" spans="2:8" x14ac:dyDescent="0.2">
      <c r="B179" s="141" t="s">
        <v>163</v>
      </c>
      <c r="C179" s="123">
        <v>9500</v>
      </c>
      <c r="D179" s="123">
        <v>9500</v>
      </c>
      <c r="E179" s="123">
        <v>9500</v>
      </c>
      <c r="F179" s="123">
        <v>9500</v>
      </c>
      <c r="G179" s="123">
        <v>9500</v>
      </c>
      <c r="H179" s="124">
        <v>9500</v>
      </c>
    </row>
    <row r="180" spans="2:8" x14ac:dyDescent="0.2">
      <c r="B180" s="141" t="s">
        <v>164</v>
      </c>
      <c r="C180" s="138">
        <v>1.5</v>
      </c>
      <c r="D180" s="138">
        <v>1.5</v>
      </c>
      <c r="E180" s="138">
        <v>1.5</v>
      </c>
      <c r="F180" s="138">
        <v>1.5</v>
      </c>
      <c r="G180" s="138">
        <v>1.5</v>
      </c>
      <c r="H180" s="139">
        <v>1.5</v>
      </c>
    </row>
    <row r="181" spans="2:8" x14ac:dyDescent="0.2">
      <c r="B181" s="141"/>
      <c r="C181" s="123"/>
      <c r="D181" s="123"/>
      <c r="E181" s="123"/>
      <c r="F181" s="138"/>
      <c r="G181" s="123"/>
      <c r="H181" s="124"/>
    </row>
    <row r="182" spans="2:8" x14ac:dyDescent="0.2">
      <c r="B182" s="85"/>
      <c r="C182" s="123"/>
      <c r="D182" s="123"/>
      <c r="E182" s="123"/>
      <c r="F182" s="123"/>
      <c r="G182" s="123"/>
      <c r="H182" s="124"/>
    </row>
    <row r="183" spans="2:8" ht="15.75" x14ac:dyDescent="0.2">
      <c r="B183" s="107" t="s">
        <v>165</v>
      </c>
      <c r="C183" s="123"/>
      <c r="D183" s="123"/>
      <c r="E183" s="123"/>
      <c r="F183" s="123"/>
      <c r="G183" s="123"/>
      <c r="H183" s="124"/>
    </row>
    <row r="184" spans="2:8" x14ac:dyDescent="0.2">
      <c r="B184" s="96" t="s">
        <v>166</v>
      </c>
      <c r="C184" s="142">
        <v>1.48</v>
      </c>
      <c r="D184" s="142">
        <v>1.48</v>
      </c>
      <c r="E184" s="142">
        <v>1.48</v>
      </c>
      <c r="F184" s="142">
        <v>1.48</v>
      </c>
      <c r="G184" s="142">
        <v>1.5</v>
      </c>
      <c r="H184" s="143">
        <v>1.48</v>
      </c>
    </row>
    <row r="185" spans="2:8" x14ac:dyDescent="0.2">
      <c r="B185" s="144" t="s">
        <v>167</v>
      </c>
      <c r="C185" s="142">
        <v>0</v>
      </c>
      <c r="D185" s="142">
        <v>0</v>
      </c>
      <c r="E185" s="142">
        <v>0</v>
      </c>
      <c r="F185" s="142">
        <v>0</v>
      </c>
      <c r="G185" s="142">
        <v>0.02</v>
      </c>
      <c r="H185" s="143">
        <v>0</v>
      </c>
    </row>
    <row r="186" spans="2:8" x14ac:dyDescent="0.2">
      <c r="B186" s="144" t="s">
        <v>168</v>
      </c>
      <c r="C186" s="142">
        <v>0.57999999999999996</v>
      </c>
      <c r="D186" s="142">
        <v>0.57999999999999996</v>
      </c>
      <c r="E186" s="142">
        <v>0.57999999999999996</v>
      </c>
      <c r="F186" s="142">
        <v>0.57999999999999996</v>
      </c>
      <c r="G186" s="142">
        <v>0.56999999999999995</v>
      </c>
      <c r="H186" s="143">
        <v>0.56999999999999995</v>
      </c>
    </row>
    <row r="187" spans="2:8" x14ac:dyDescent="0.2">
      <c r="B187" s="144" t="s">
        <v>169</v>
      </c>
      <c r="C187" s="142">
        <v>0.9</v>
      </c>
      <c r="D187" s="142">
        <v>0.9</v>
      </c>
      <c r="E187" s="142">
        <v>0.9</v>
      </c>
      <c r="F187" s="142">
        <v>0.9</v>
      </c>
      <c r="G187" s="142">
        <v>0.91</v>
      </c>
      <c r="H187" s="143">
        <v>0.91</v>
      </c>
    </row>
    <row r="188" spans="2:8" x14ac:dyDescent="0.2">
      <c r="B188" s="96"/>
      <c r="C188" s="145"/>
      <c r="D188" s="145"/>
      <c r="E188" s="145"/>
      <c r="F188" s="145"/>
      <c r="G188" s="145"/>
      <c r="H188" s="146"/>
    </row>
    <row r="189" spans="2:8" ht="15.75" x14ac:dyDescent="0.2">
      <c r="B189" s="107" t="s">
        <v>170</v>
      </c>
      <c r="C189" s="123"/>
      <c r="D189" s="123"/>
      <c r="E189" s="123"/>
      <c r="F189" s="123"/>
      <c r="G189" s="123"/>
      <c r="H189" s="124"/>
    </row>
    <row r="190" spans="2:8" x14ac:dyDescent="0.2">
      <c r="B190" s="96" t="s">
        <v>166</v>
      </c>
      <c r="C190" s="142">
        <v>8.8000000000000007</v>
      </c>
      <c r="D190" s="142">
        <v>8.8000000000000007</v>
      </c>
      <c r="E190" s="142">
        <v>8.8000000000000007</v>
      </c>
      <c r="F190" s="142">
        <v>8.8000000000000007</v>
      </c>
      <c r="G190" s="142">
        <v>9.17</v>
      </c>
      <c r="H190" s="143">
        <v>8.7899999999999991</v>
      </c>
    </row>
    <row r="191" spans="2:8" x14ac:dyDescent="0.2">
      <c r="B191" s="144" t="s">
        <v>167</v>
      </c>
      <c r="C191" s="142">
        <v>7.1</v>
      </c>
      <c r="D191" s="142">
        <v>7.1</v>
      </c>
      <c r="E191" s="142">
        <v>7.1</v>
      </c>
      <c r="F191" s="142">
        <v>7.1</v>
      </c>
      <c r="G191" s="142">
        <v>7.48</v>
      </c>
      <c r="H191" s="143">
        <v>7.11</v>
      </c>
    </row>
    <row r="192" spans="2:8" x14ac:dyDescent="0.2">
      <c r="B192" s="144" t="s">
        <v>168</v>
      </c>
      <c r="C192" s="142">
        <v>0.8</v>
      </c>
      <c r="D192" s="142">
        <v>0.8</v>
      </c>
      <c r="E192" s="142">
        <v>0.8</v>
      </c>
      <c r="F192" s="142">
        <v>0.8</v>
      </c>
      <c r="G192" s="142">
        <v>0.79</v>
      </c>
      <c r="H192" s="143">
        <v>0.79</v>
      </c>
    </row>
    <row r="193" spans="2:8" x14ac:dyDescent="0.2">
      <c r="B193" s="144" t="s">
        <v>169</v>
      </c>
      <c r="C193" s="142">
        <v>0.90000000000000124</v>
      </c>
      <c r="D193" s="142">
        <v>0.90000000000000124</v>
      </c>
      <c r="E193" s="142">
        <v>0.90000000000000124</v>
      </c>
      <c r="F193" s="142">
        <v>0.90000000000000124</v>
      </c>
      <c r="G193" s="142">
        <v>0.90000000000000036</v>
      </c>
      <c r="H193" s="143">
        <v>0.88999999999999879</v>
      </c>
    </row>
    <row r="194" spans="2:8" x14ac:dyDescent="0.2">
      <c r="B194" s="96"/>
      <c r="C194" s="145"/>
      <c r="D194" s="145"/>
      <c r="E194" s="145"/>
      <c r="F194" s="145"/>
      <c r="G194" s="145"/>
      <c r="H194" s="146"/>
    </row>
    <row r="195" spans="2:8" ht="15" customHeight="1" x14ac:dyDescent="0.2">
      <c r="B195" s="147" t="s">
        <v>171</v>
      </c>
      <c r="C195" s="104"/>
      <c r="D195" s="104"/>
      <c r="E195" s="104"/>
      <c r="F195" s="104"/>
      <c r="G195" s="104"/>
      <c r="H195" s="105"/>
    </row>
    <row r="196" spans="2:8" ht="15" customHeight="1" x14ac:dyDescent="0.2">
      <c r="B196" s="141" t="s">
        <v>172</v>
      </c>
      <c r="C196" s="148">
        <v>-16.899999999999999</v>
      </c>
      <c r="D196" s="148">
        <v>-16.899999999999999</v>
      </c>
      <c r="E196" s="148">
        <v>-16.899999999999999</v>
      </c>
      <c r="F196" s="148">
        <v>-16.899999999999999</v>
      </c>
      <c r="G196" s="148">
        <v>-20.100000000000001</v>
      </c>
      <c r="H196" s="149">
        <v>-20.100000000000001</v>
      </c>
    </row>
    <row r="197" spans="2:8" ht="15" customHeight="1" x14ac:dyDescent="0.2">
      <c r="B197" s="141" t="s">
        <v>173</v>
      </c>
      <c r="C197" s="148">
        <v>-5.8</v>
      </c>
      <c r="D197" s="148">
        <v>-5.8</v>
      </c>
      <c r="E197" s="148">
        <v>-5.8</v>
      </c>
      <c r="F197" s="148">
        <v>-5.8</v>
      </c>
      <c r="G197" s="148">
        <v>-6</v>
      </c>
      <c r="H197" s="149">
        <v>-6</v>
      </c>
    </row>
    <row r="198" spans="2:8" ht="15" customHeight="1" x14ac:dyDescent="0.2">
      <c r="B198" s="141"/>
      <c r="C198" s="148"/>
      <c r="D198" s="148"/>
      <c r="E198" s="148"/>
      <c r="F198" s="148"/>
      <c r="G198" s="148"/>
      <c r="H198" s="149"/>
    </row>
    <row r="199" spans="2:8" ht="15" customHeight="1" x14ac:dyDescent="0.2">
      <c r="B199" s="147" t="s">
        <v>174</v>
      </c>
      <c r="C199" s="148"/>
      <c r="D199" s="148"/>
      <c r="E199" s="148"/>
      <c r="F199" s="148"/>
      <c r="G199" s="148"/>
      <c r="H199" s="149"/>
    </row>
    <row r="200" spans="2:8" ht="15" customHeight="1" x14ac:dyDescent="0.2">
      <c r="B200" s="141" t="s">
        <v>172</v>
      </c>
      <c r="C200" s="148">
        <v>-20.6</v>
      </c>
      <c r="D200" s="148">
        <v>-20.6</v>
      </c>
      <c r="E200" s="148">
        <v>-20.6</v>
      </c>
      <c r="F200" s="148">
        <v>-20.6</v>
      </c>
      <c r="G200" s="148">
        <v>-24</v>
      </c>
      <c r="H200" s="149">
        <v>-24</v>
      </c>
    </row>
    <row r="201" spans="2:8" ht="15" customHeight="1" x14ac:dyDescent="0.2">
      <c r="B201" s="141" t="s">
        <v>173</v>
      </c>
      <c r="C201" s="148">
        <v>-1.1000000000000001</v>
      </c>
      <c r="D201" s="148">
        <v>-1.1000000000000001</v>
      </c>
      <c r="E201" s="148">
        <v>-1.1000000000000001</v>
      </c>
      <c r="F201" s="148">
        <v>-1.1000000000000001</v>
      </c>
      <c r="G201" s="148">
        <v>-1.3</v>
      </c>
      <c r="H201" s="149">
        <v>-1.3</v>
      </c>
    </row>
    <row r="202" spans="2:8" ht="15.75" thickBot="1" x14ac:dyDescent="0.25">
      <c r="B202" s="150"/>
      <c r="C202" s="111"/>
      <c r="D202" s="111"/>
      <c r="E202" s="111"/>
      <c r="F202" s="111"/>
      <c r="G202" s="151"/>
      <c r="H202" s="152"/>
    </row>
    <row r="203" spans="2:8" ht="17.25" thickTop="1" thickBot="1" x14ac:dyDescent="0.25">
      <c r="B203" s="95" t="s">
        <v>175</v>
      </c>
      <c r="C203" s="153"/>
      <c r="D203" s="153"/>
      <c r="E203" s="153"/>
      <c r="F203" s="153"/>
      <c r="G203" s="153"/>
      <c r="H203" s="154"/>
    </row>
    <row r="204" spans="2:8" ht="15.75" thickTop="1" x14ac:dyDescent="0.2">
      <c r="B204" s="141"/>
      <c r="C204" s="97"/>
      <c r="D204" s="97"/>
      <c r="E204" s="97"/>
      <c r="F204" s="97"/>
      <c r="G204" s="97"/>
      <c r="H204" s="98"/>
    </row>
    <row r="205" spans="2:8" x14ac:dyDescent="0.2">
      <c r="B205" s="141" t="s">
        <v>176</v>
      </c>
      <c r="C205" s="155"/>
      <c r="D205" s="155"/>
      <c r="E205" s="155"/>
      <c r="F205" s="155"/>
      <c r="G205" s="155"/>
      <c r="H205" s="156"/>
    </row>
    <row r="206" spans="2:8" ht="15.75" x14ac:dyDescent="0.2">
      <c r="B206" s="157" t="s">
        <v>177</v>
      </c>
      <c r="C206" s="158">
        <v>79.900000000000006</v>
      </c>
      <c r="D206" s="158">
        <v>79.900000000000006</v>
      </c>
      <c r="E206" s="158">
        <v>79.900000000000006</v>
      </c>
      <c r="F206" s="158">
        <v>79.900000000000006</v>
      </c>
      <c r="G206" s="158">
        <v>79.900000000000006</v>
      </c>
      <c r="H206" s="159">
        <v>79.900000000000006</v>
      </c>
    </row>
    <row r="207" spans="2:8" ht="15.75" x14ac:dyDescent="0.2">
      <c r="B207" s="125" t="s">
        <v>178</v>
      </c>
      <c r="C207" s="160">
        <v>4.5</v>
      </c>
      <c r="D207" s="160">
        <v>4.5</v>
      </c>
      <c r="E207" s="160">
        <v>4.5</v>
      </c>
      <c r="F207" s="160">
        <v>4.5</v>
      </c>
      <c r="G207" s="160">
        <v>4.5</v>
      </c>
      <c r="H207" s="161">
        <v>4.5</v>
      </c>
    </row>
    <row r="208" spans="2:8" x14ac:dyDescent="0.2">
      <c r="B208" s="157" t="s">
        <v>179</v>
      </c>
      <c r="C208" s="158">
        <v>48.6</v>
      </c>
      <c r="D208" s="158">
        <v>48.6</v>
      </c>
      <c r="E208" s="158">
        <v>48.6</v>
      </c>
      <c r="F208" s="158">
        <v>48.6</v>
      </c>
      <c r="G208" s="158">
        <v>48.6</v>
      </c>
      <c r="H208" s="159">
        <v>48.6</v>
      </c>
    </row>
    <row r="209" spans="2:8" ht="15.75" x14ac:dyDescent="0.2">
      <c r="B209" s="157" t="s">
        <v>180</v>
      </c>
      <c r="C209" s="158">
        <v>271200</v>
      </c>
      <c r="D209" s="158">
        <v>270000</v>
      </c>
      <c r="E209" s="158">
        <v>270000</v>
      </c>
      <c r="F209" s="158">
        <v>270000</v>
      </c>
      <c r="G209" s="158">
        <v>272400</v>
      </c>
      <c r="H209" s="159">
        <v>272400</v>
      </c>
    </row>
    <row r="210" spans="2:8" x14ac:dyDescent="0.2">
      <c r="B210" s="157"/>
      <c r="C210" s="162"/>
      <c r="D210" s="162"/>
      <c r="E210" s="162"/>
      <c r="F210" s="162"/>
      <c r="G210" s="162"/>
      <c r="H210" s="163"/>
    </row>
    <row r="211" spans="2:8" x14ac:dyDescent="0.2">
      <c r="B211" s="141" t="s">
        <v>181</v>
      </c>
      <c r="C211" s="162"/>
      <c r="D211" s="162"/>
      <c r="E211" s="162"/>
      <c r="F211" s="162"/>
      <c r="G211" s="162"/>
      <c r="H211" s="163"/>
    </row>
    <row r="212" spans="2:8" ht="15.75" x14ac:dyDescent="0.2">
      <c r="B212" s="157" t="s">
        <v>177</v>
      </c>
      <c r="C212" s="158">
        <v>17.8</v>
      </c>
      <c r="D212" s="158">
        <v>17.8</v>
      </c>
      <c r="E212" s="158">
        <v>17.8</v>
      </c>
      <c r="F212" s="158">
        <v>17.8</v>
      </c>
      <c r="G212" s="158">
        <v>17.8</v>
      </c>
      <c r="H212" s="159">
        <v>17.8</v>
      </c>
    </row>
    <row r="213" spans="2:8" ht="15.75" x14ac:dyDescent="0.2">
      <c r="B213" s="157" t="s">
        <v>178</v>
      </c>
      <c r="C213" s="160">
        <v>4.5</v>
      </c>
      <c r="D213" s="160">
        <v>4.5</v>
      </c>
      <c r="E213" s="160">
        <v>4.5</v>
      </c>
      <c r="F213" s="160">
        <v>4.5</v>
      </c>
      <c r="G213" s="160">
        <v>4.5</v>
      </c>
      <c r="H213" s="161">
        <v>4.5</v>
      </c>
    </row>
    <row r="214" spans="2:8" x14ac:dyDescent="0.2">
      <c r="B214" s="157" t="s">
        <v>179</v>
      </c>
      <c r="C214" s="158">
        <v>10.8</v>
      </c>
      <c r="D214" s="158">
        <v>10.8</v>
      </c>
      <c r="E214" s="158">
        <v>10.8</v>
      </c>
      <c r="F214" s="158">
        <v>10.8</v>
      </c>
      <c r="G214" s="158">
        <v>10.8</v>
      </c>
      <c r="H214" s="159">
        <v>10.8</v>
      </c>
    </row>
    <row r="215" spans="2:8" ht="15.75" x14ac:dyDescent="0.2">
      <c r="B215" s="157" t="s">
        <v>180</v>
      </c>
      <c r="C215" s="158">
        <v>271200</v>
      </c>
      <c r="D215" s="158">
        <v>270000</v>
      </c>
      <c r="E215" s="158">
        <v>270000</v>
      </c>
      <c r="F215" s="158">
        <v>270000</v>
      </c>
      <c r="G215" s="158">
        <v>272400</v>
      </c>
      <c r="H215" s="159">
        <v>272400</v>
      </c>
    </row>
    <row r="216" spans="2:8" ht="15.75" thickBot="1" x14ac:dyDescent="0.25">
      <c r="B216" s="141"/>
      <c r="C216" s="164"/>
      <c r="D216" s="164"/>
      <c r="E216" s="164"/>
      <c r="F216" s="164"/>
      <c r="G216" s="164"/>
      <c r="H216" s="165"/>
    </row>
    <row r="217" spans="2:8" ht="17.25" thickTop="1" thickBot="1" x14ac:dyDescent="0.25">
      <c r="B217" s="95" t="s">
        <v>182</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176</v>
      </c>
      <c r="C219" s="170"/>
      <c r="D219" s="171"/>
      <c r="E219" s="171"/>
      <c r="F219" s="171"/>
      <c r="G219" s="171"/>
      <c r="H219" s="172"/>
    </row>
    <row r="220" spans="2:8" ht="15.75" x14ac:dyDescent="0.2">
      <c r="B220" s="157" t="s">
        <v>177</v>
      </c>
      <c r="C220" s="158">
        <v>430</v>
      </c>
      <c r="D220" s="158">
        <v>430</v>
      </c>
      <c r="E220" s="158">
        <v>430</v>
      </c>
      <c r="F220" s="158">
        <v>430</v>
      </c>
      <c r="G220" s="158">
        <v>430</v>
      </c>
      <c r="H220" s="159">
        <v>430</v>
      </c>
    </row>
    <row r="221" spans="2:8" ht="15.75" x14ac:dyDescent="0.2">
      <c r="B221" s="125" t="s">
        <v>178</v>
      </c>
      <c r="C221" s="160">
        <v>3.4</v>
      </c>
      <c r="D221" s="160">
        <v>3.4</v>
      </c>
      <c r="E221" s="160">
        <v>3.4</v>
      </c>
      <c r="F221" s="160">
        <v>3.4</v>
      </c>
      <c r="G221" s="160">
        <v>3.5</v>
      </c>
      <c r="H221" s="161">
        <v>3.5</v>
      </c>
    </row>
    <row r="222" spans="2:8" ht="18.600000000000001" customHeight="1" x14ac:dyDescent="0.2">
      <c r="B222" s="157" t="s">
        <v>179</v>
      </c>
      <c r="C222" s="158">
        <v>84.3</v>
      </c>
      <c r="D222" s="158">
        <v>84.3</v>
      </c>
      <c r="E222" s="158">
        <v>84.3</v>
      </c>
      <c r="F222" s="158">
        <v>84.3</v>
      </c>
      <c r="G222" s="158">
        <v>84.3</v>
      </c>
      <c r="H222" s="159">
        <v>84.3</v>
      </c>
    </row>
    <row r="223" spans="2:8" ht="15.75" x14ac:dyDescent="0.2">
      <c r="B223" s="157" t="s">
        <v>180</v>
      </c>
      <c r="C223" s="158">
        <v>361600</v>
      </c>
      <c r="D223" s="158">
        <v>360000</v>
      </c>
      <c r="E223" s="158">
        <v>360000</v>
      </c>
      <c r="F223" s="158">
        <v>360000</v>
      </c>
      <c r="G223" s="158">
        <v>363200</v>
      </c>
      <c r="H223" s="159">
        <v>363200</v>
      </c>
    </row>
    <row r="224" spans="2:8" x14ac:dyDescent="0.2">
      <c r="B224" s="157"/>
      <c r="C224" s="158"/>
      <c r="D224" s="158"/>
      <c r="E224" s="158"/>
      <c r="F224" s="158"/>
      <c r="G224" s="158"/>
      <c r="H224" s="159"/>
    </row>
    <row r="225" spans="2:8" x14ac:dyDescent="0.2">
      <c r="B225" s="141" t="s">
        <v>181</v>
      </c>
      <c r="C225" s="162"/>
      <c r="D225" s="162"/>
      <c r="E225" s="162"/>
      <c r="F225" s="162"/>
      <c r="G225" s="162"/>
      <c r="H225" s="163"/>
    </row>
    <row r="226" spans="2:8" ht="15.75" x14ac:dyDescent="0.2">
      <c r="B226" s="157" t="s">
        <v>177</v>
      </c>
      <c r="C226" s="158">
        <v>64.5</v>
      </c>
      <c r="D226" s="158">
        <v>64.5</v>
      </c>
      <c r="E226" s="158">
        <v>64.5</v>
      </c>
      <c r="F226" s="158">
        <v>64.5</v>
      </c>
      <c r="G226" s="158">
        <v>64.5</v>
      </c>
      <c r="H226" s="159">
        <v>64.5</v>
      </c>
    </row>
    <row r="227" spans="2:8" ht="15.75" x14ac:dyDescent="0.2">
      <c r="B227" s="157" t="s">
        <v>178</v>
      </c>
      <c r="C227" s="160">
        <v>3.4</v>
      </c>
      <c r="D227" s="160">
        <v>3.4</v>
      </c>
      <c r="E227" s="160">
        <v>3.4</v>
      </c>
      <c r="F227" s="160">
        <v>3.4</v>
      </c>
      <c r="G227" s="160">
        <v>3.5</v>
      </c>
      <c r="H227" s="161">
        <v>3.5</v>
      </c>
    </row>
    <row r="228" spans="2:8" x14ac:dyDescent="0.2">
      <c r="B228" s="157" t="s">
        <v>179</v>
      </c>
      <c r="C228" s="158">
        <v>14.3</v>
      </c>
      <c r="D228" s="158">
        <v>14.3</v>
      </c>
      <c r="E228" s="158">
        <v>14.3</v>
      </c>
      <c r="F228" s="158">
        <v>14.3</v>
      </c>
      <c r="G228" s="158">
        <v>14.3</v>
      </c>
      <c r="H228" s="159">
        <v>14.3</v>
      </c>
    </row>
    <row r="229" spans="2:8" ht="15.75" x14ac:dyDescent="0.2">
      <c r="B229" s="157" t="s">
        <v>180</v>
      </c>
      <c r="C229" s="158">
        <v>361600</v>
      </c>
      <c r="D229" s="158">
        <v>360000</v>
      </c>
      <c r="E229" s="158">
        <v>360000</v>
      </c>
      <c r="F229" s="158">
        <v>360000</v>
      </c>
      <c r="G229" s="158">
        <v>363200</v>
      </c>
      <c r="H229" s="159">
        <v>363200</v>
      </c>
    </row>
    <row r="230" spans="2:8" ht="15.75" thickBot="1" x14ac:dyDescent="0.25">
      <c r="B230" s="173"/>
      <c r="C230" s="174"/>
      <c r="D230" s="174"/>
      <c r="E230" s="174"/>
      <c r="F230" s="174"/>
      <c r="G230" s="174"/>
      <c r="H230" s="175"/>
    </row>
    <row r="231" spans="2:8" ht="16.5" thickTop="1" x14ac:dyDescent="0.2">
      <c r="B231" s="176" t="s">
        <v>183</v>
      </c>
      <c r="C231" s="177"/>
      <c r="D231" s="177"/>
      <c r="E231" s="177"/>
      <c r="F231" s="177"/>
      <c r="G231" s="177"/>
      <c r="H231" s="178"/>
    </row>
    <row r="232" spans="2:8" s="179" customFormat="1" x14ac:dyDescent="0.2">
      <c r="B232" s="78" t="s">
        <v>184</v>
      </c>
      <c r="C232" s="180"/>
      <c r="D232" s="180"/>
      <c r="E232" s="180"/>
      <c r="F232" s="180"/>
      <c r="G232" s="180"/>
      <c r="H232" s="181"/>
    </row>
    <row r="233" spans="2:8" s="179" customFormat="1" x14ac:dyDescent="0.2">
      <c r="B233" s="78" t="s">
        <v>185</v>
      </c>
      <c r="C233" s="180"/>
      <c r="D233" s="180"/>
      <c r="E233" s="180"/>
      <c r="F233" s="180"/>
      <c r="G233" s="180"/>
      <c r="H233" s="181"/>
    </row>
    <row r="234" spans="2:8" s="179" customFormat="1" ht="15" customHeight="1" x14ac:dyDescent="0.2">
      <c r="B234" s="182" t="s">
        <v>186</v>
      </c>
      <c r="C234" s="183"/>
      <c r="D234" s="183"/>
      <c r="E234" s="183"/>
      <c r="F234" s="183"/>
      <c r="G234" s="183"/>
      <c r="H234" s="184"/>
    </row>
    <row r="235" spans="2:8" s="179" customFormat="1" ht="15" customHeight="1" x14ac:dyDescent="0.2">
      <c r="B235" s="182" t="s">
        <v>187</v>
      </c>
      <c r="C235" s="183"/>
      <c r="D235" s="183"/>
      <c r="E235" s="183"/>
      <c r="F235" s="183"/>
      <c r="G235" s="183"/>
      <c r="H235" s="184"/>
    </row>
    <row r="236" spans="2:8" s="179" customFormat="1" ht="15" hidden="1" customHeight="1" x14ac:dyDescent="0.2">
      <c r="B236" s="185"/>
      <c r="C236" s="183"/>
      <c r="D236" s="183"/>
      <c r="E236" s="183"/>
      <c r="F236" s="183"/>
      <c r="G236" s="183"/>
      <c r="H236" s="184"/>
    </row>
    <row r="237" spans="2:8" s="179" customFormat="1" x14ac:dyDescent="0.2">
      <c r="B237" s="78" t="s">
        <v>188</v>
      </c>
      <c r="C237" s="180"/>
      <c r="D237" s="180"/>
      <c r="E237" s="180"/>
      <c r="F237" s="180"/>
      <c r="G237" s="180"/>
      <c r="H237" s="181"/>
    </row>
    <row r="238" spans="2:8" s="179" customFormat="1" x14ac:dyDescent="0.2">
      <c r="B238" s="78" t="s">
        <v>189</v>
      </c>
      <c r="C238" s="180"/>
      <c r="D238" s="180"/>
      <c r="E238" s="180"/>
      <c r="F238" s="180"/>
      <c r="G238" s="180"/>
      <c r="H238" s="181"/>
    </row>
    <row r="239" spans="2:8" s="179" customFormat="1" x14ac:dyDescent="0.2">
      <c r="B239" s="78" t="s">
        <v>190</v>
      </c>
      <c r="C239" s="180"/>
      <c r="D239" s="180"/>
      <c r="E239" s="180"/>
      <c r="F239" s="180"/>
      <c r="G239" s="180"/>
      <c r="H239" s="181"/>
    </row>
    <row r="240" spans="2:8" s="179" customFormat="1" ht="15" customHeight="1" x14ac:dyDescent="0.2">
      <c r="B240" s="182" t="s">
        <v>191</v>
      </c>
      <c r="C240" s="183"/>
      <c r="D240" s="183"/>
      <c r="E240" s="183"/>
      <c r="F240" s="183"/>
      <c r="G240" s="183"/>
      <c r="H240" s="184"/>
    </row>
    <row r="241" spans="2:8" s="179" customFormat="1" x14ac:dyDescent="0.2">
      <c r="B241" s="78" t="s">
        <v>192</v>
      </c>
      <c r="C241" s="183"/>
      <c r="D241" s="183"/>
      <c r="E241" s="183"/>
      <c r="F241" s="183"/>
      <c r="G241" s="183"/>
      <c r="H241" s="184"/>
    </row>
    <row r="242" spans="2:8" s="179" customFormat="1" x14ac:dyDescent="0.2">
      <c r="B242" s="78" t="s">
        <v>193</v>
      </c>
      <c r="C242" s="180"/>
      <c r="D242" s="180"/>
      <c r="E242" s="180"/>
      <c r="F242" s="180"/>
      <c r="G242" s="180"/>
      <c r="H242" s="181"/>
    </row>
    <row r="243" spans="2:8" s="179" customFormat="1" x14ac:dyDescent="0.2">
      <c r="B243" s="78" t="s">
        <v>194</v>
      </c>
      <c r="C243" s="180"/>
      <c r="D243" s="180"/>
      <c r="E243" s="180"/>
      <c r="F243" s="180"/>
      <c r="G243" s="180"/>
      <c r="H243" s="181"/>
    </row>
    <row r="244" spans="2:8" s="179" customFormat="1" x14ac:dyDescent="0.2">
      <c r="B244" s="78" t="s">
        <v>195</v>
      </c>
      <c r="C244" s="180"/>
      <c r="D244" s="180"/>
      <c r="E244" s="180"/>
      <c r="F244" s="180"/>
      <c r="G244" s="180"/>
      <c r="H244" s="181"/>
    </row>
    <row r="245" spans="2:8" s="179" customFormat="1" x14ac:dyDescent="0.2">
      <c r="B245" s="78" t="s">
        <v>196</v>
      </c>
      <c r="C245" s="180"/>
      <c r="D245" s="180"/>
      <c r="E245" s="180"/>
      <c r="F245" s="180"/>
      <c r="G245" s="180"/>
      <c r="H245" s="181"/>
    </row>
    <row r="246" spans="2:8" ht="15.75" thickBot="1" x14ac:dyDescent="0.25">
      <c r="B246" s="110"/>
      <c r="C246" s="186"/>
      <c r="D246" s="186"/>
      <c r="E246" s="186"/>
      <c r="F246" s="186"/>
      <c r="G246" s="186"/>
      <c r="H246" s="187"/>
    </row>
    <row r="247" spans="2:8" ht="15.75" thickTop="1" x14ac:dyDescent="0.2"/>
  </sheetData>
  <mergeCells count="4">
    <mergeCell ref="B2:H2"/>
    <mergeCell ref="B3:H3"/>
    <mergeCell ref="B4:H4"/>
    <mergeCell ref="B5:H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K247"/>
  <sheetViews>
    <sheetView workbookViewId="0"/>
  </sheetViews>
  <sheetFormatPr defaultColWidth="10.6640625" defaultRowHeight="15" x14ac:dyDescent="0.2"/>
  <cols>
    <col min="1" max="1" width="14.83203125" style="61" customWidth="1"/>
    <col min="2" max="2" width="62.16406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10" t="s">
        <v>76</v>
      </c>
      <c r="C2" s="311"/>
      <c r="D2" s="311"/>
      <c r="E2" s="311"/>
      <c r="F2" s="311"/>
      <c r="G2" s="311"/>
      <c r="H2" s="312"/>
    </row>
    <row r="3" spans="2:8" ht="15.75" x14ac:dyDescent="0.2">
      <c r="B3" s="313" t="s">
        <v>77</v>
      </c>
      <c r="C3" s="314"/>
      <c r="D3" s="314"/>
      <c r="E3" s="314"/>
      <c r="F3" s="314"/>
      <c r="G3" s="314"/>
      <c r="H3" s="315"/>
    </row>
    <row r="4" spans="2:8" ht="15.75" x14ac:dyDescent="0.2">
      <c r="B4" s="316" t="s">
        <v>78</v>
      </c>
      <c r="C4" s="317"/>
      <c r="D4" s="317"/>
      <c r="E4" s="317"/>
      <c r="F4" s="317"/>
      <c r="G4" s="317"/>
      <c r="H4" s="318"/>
    </row>
    <row r="5" spans="2:8" ht="16.5" thickBot="1" x14ac:dyDescent="0.25">
      <c r="B5" s="319" t="s">
        <v>350</v>
      </c>
      <c r="C5" s="320"/>
      <c r="D5" s="320"/>
      <c r="E5" s="320"/>
      <c r="F5" s="320"/>
      <c r="G5" s="320"/>
      <c r="H5" s="321"/>
    </row>
    <row r="6" spans="2:8" ht="48.6" customHeight="1" thickTop="1" thickBot="1" x14ac:dyDescent="0.25">
      <c r="B6" s="65" t="s">
        <v>79</v>
      </c>
      <c r="C6" s="66" t="s">
        <v>65</v>
      </c>
      <c r="D6" s="66" t="s">
        <v>64</v>
      </c>
      <c r="E6" s="66" t="s">
        <v>62</v>
      </c>
      <c r="F6" s="66" t="s">
        <v>63</v>
      </c>
      <c r="G6" s="66" t="s">
        <v>61</v>
      </c>
      <c r="H6" s="67" t="s">
        <v>60</v>
      </c>
    </row>
    <row r="7" spans="2:8" ht="15.6" customHeight="1" thickTop="1" thickBot="1" x14ac:dyDescent="0.25">
      <c r="B7" s="68" t="s">
        <v>80</v>
      </c>
      <c r="C7" s="69"/>
      <c r="D7" s="69"/>
      <c r="E7" s="69"/>
      <c r="F7" s="69"/>
      <c r="G7" s="70"/>
      <c r="H7" s="71"/>
    </row>
    <row r="8" spans="2:8" ht="15.75" thickTop="1" x14ac:dyDescent="0.2">
      <c r="B8" s="72" t="s">
        <v>81</v>
      </c>
      <c r="C8" s="73">
        <v>1</v>
      </c>
      <c r="D8" s="73">
        <v>1</v>
      </c>
      <c r="E8" s="73">
        <v>1</v>
      </c>
      <c r="F8" s="73">
        <v>1</v>
      </c>
      <c r="G8" s="73">
        <v>1</v>
      </c>
      <c r="H8" s="74">
        <v>1</v>
      </c>
    </row>
    <row r="9" spans="2:8" x14ac:dyDescent="0.2">
      <c r="B9" s="75" t="s">
        <v>82</v>
      </c>
      <c r="C9" s="76" t="s">
        <v>83</v>
      </c>
      <c r="D9" s="76" t="s">
        <v>83</v>
      </c>
      <c r="E9" s="76" t="s">
        <v>83</v>
      </c>
      <c r="F9" s="76" t="s">
        <v>83</v>
      </c>
      <c r="G9" s="76" t="s">
        <v>83</v>
      </c>
      <c r="H9" s="77" t="s">
        <v>83</v>
      </c>
    </row>
    <row r="10" spans="2:8" ht="15" customHeight="1" x14ac:dyDescent="0.2">
      <c r="B10" s="78" t="s">
        <v>84</v>
      </c>
      <c r="C10" s="79" t="s">
        <v>85</v>
      </c>
      <c r="D10" s="79" t="s">
        <v>85</v>
      </c>
      <c r="E10" s="79" t="s">
        <v>85</v>
      </c>
      <c r="F10" s="79" t="s">
        <v>85</v>
      </c>
      <c r="G10" s="79" t="s">
        <v>85</v>
      </c>
      <c r="H10" s="80" t="s">
        <v>85</v>
      </c>
    </row>
    <row r="11" spans="2:8" ht="15" customHeight="1" x14ac:dyDescent="0.2">
      <c r="B11" s="78" t="s">
        <v>86</v>
      </c>
      <c r="C11" s="79" t="s">
        <v>87</v>
      </c>
      <c r="D11" s="79" t="s">
        <v>87</v>
      </c>
      <c r="E11" s="79" t="s">
        <v>87</v>
      </c>
      <c r="F11" s="79" t="s">
        <v>87</v>
      </c>
      <c r="G11" s="79" t="s">
        <v>87</v>
      </c>
      <c r="H11" s="80" t="s">
        <v>87</v>
      </c>
    </row>
    <row r="12" spans="2:8" ht="15" customHeight="1" x14ac:dyDescent="0.2">
      <c r="B12" s="78" t="s">
        <v>88</v>
      </c>
      <c r="C12" s="79">
        <v>45</v>
      </c>
      <c r="D12" s="79">
        <v>45</v>
      </c>
      <c r="E12" s="79">
        <v>45</v>
      </c>
      <c r="F12" s="79">
        <v>45</v>
      </c>
      <c r="G12" s="79">
        <v>45</v>
      </c>
      <c r="H12" s="80">
        <v>45</v>
      </c>
    </row>
    <row r="13" spans="2:8" hidden="1" x14ac:dyDescent="0.2">
      <c r="B13" s="78"/>
      <c r="C13" s="81"/>
      <c r="D13" s="81"/>
      <c r="E13" s="81"/>
      <c r="F13" s="81"/>
      <c r="G13" s="81"/>
      <c r="H13" s="82"/>
    </row>
    <row r="14" spans="2:8" hidden="1" x14ac:dyDescent="0.2">
      <c r="B14" s="78"/>
      <c r="C14" s="79"/>
      <c r="D14" s="79"/>
      <c r="E14" s="79"/>
      <c r="F14" s="79"/>
      <c r="G14" s="79"/>
      <c r="H14" s="80"/>
    </row>
    <row r="15" spans="2:8" hidden="1" x14ac:dyDescent="0.2">
      <c r="B15" s="78"/>
      <c r="C15" s="83"/>
      <c r="D15" s="83"/>
      <c r="E15" s="83"/>
      <c r="F15" s="83"/>
      <c r="G15" s="83"/>
      <c r="H15" s="84"/>
    </row>
    <row r="16" spans="2:8" x14ac:dyDescent="0.2">
      <c r="B16" s="85" t="s">
        <v>89</v>
      </c>
      <c r="C16" s="83">
        <v>4.3400000000000001E-2</v>
      </c>
      <c r="D16" s="83">
        <v>4.3400000000000001E-2</v>
      </c>
      <c r="E16" s="83">
        <v>4.3400000000000001E-2</v>
      </c>
      <c r="F16" s="83">
        <v>4.3400000000000001E-2</v>
      </c>
      <c r="G16" s="83">
        <v>4.3400000000000001E-2</v>
      </c>
      <c r="H16" s="84">
        <v>4.3400000000000001E-2</v>
      </c>
    </row>
    <row r="17" spans="2:8" hidden="1" x14ac:dyDescent="0.2">
      <c r="B17" s="85"/>
      <c r="C17" s="83"/>
      <c r="D17" s="83"/>
      <c r="E17" s="83"/>
      <c r="F17" s="83"/>
      <c r="G17" s="83"/>
      <c r="H17" s="84"/>
    </row>
    <row r="18" spans="2:8" x14ac:dyDescent="0.2">
      <c r="B18" s="85" t="s">
        <v>90</v>
      </c>
      <c r="C18" s="86">
        <v>15</v>
      </c>
      <c r="D18" s="86">
        <v>15</v>
      </c>
      <c r="E18" s="86">
        <v>15</v>
      </c>
      <c r="F18" s="86">
        <v>15</v>
      </c>
      <c r="G18" s="86">
        <v>15</v>
      </c>
      <c r="H18" s="87">
        <v>15</v>
      </c>
    </row>
    <row r="19" spans="2:8" ht="15" customHeight="1" x14ac:dyDescent="0.2">
      <c r="B19" s="78" t="s">
        <v>91</v>
      </c>
      <c r="C19" s="88" t="s">
        <v>92</v>
      </c>
      <c r="D19" s="88" t="s">
        <v>92</v>
      </c>
      <c r="E19" s="88" t="s">
        <v>92</v>
      </c>
      <c r="F19" s="88" t="s">
        <v>92</v>
      </c>
      <c r="G19" s="88" t="s">
        <v>92</v>
      </c>
      <c r="H19" s="89" t="s">
        <v>92</v>
      </c>
    </row>
    <row r="20" spans="2:8" ht="15" customHeight="1" x14ac:dyDescent="0.2">
      <c r="B20" s="78" t="s">
        <v>93</v>
      </c>
      <c r="C20" s="88" t="s">
        <v>94</v>
      </c>
      <c r="D20" s="88" t="s">
        <v>94</v>
      </c>
      <c r="E20" s="88" t="s">
        <v>94</v>
      </c>
      <c r="F20" s="88" t="s">
        <v>94</v>
      </c>
      <c r="G20" s="88" t="s">
        <v>94</v>
      </c>
      <c r="H20" s="89" t="s">
        <v>94</v>
      </c>
    </row>
    <row r="21" spans="2:8" ht="15" customHeight="1" x14ac:dyDescent="0.2">
      <c r="B21" s="75" t="s">
        <v>95</v>
      </c>
      <c r="C21" s="90" t="s">
        <v>96</v>
      </c>
      <c r="D21" s="90" t="s">
        <v>96</v>
      </c>
      <c r="E21" s="90" t="s">
        <v>96</v>
      </c>
      <c r="F21" s="90" t="s">
        <v>96</v>
      </c>
      <c r="G21" s="90" t="s">
        <v>96</v>
      </c>
      <c r="H21" s="91" t="s">
        <v>96</v>
      </c>
    </row>
    <row r="22" spans="2:8" ht="33" customHeight="1" x14ac:dyDescent="0.2">
      <c r="B22" s="85" t="s">
        <v>97</v>
      </c>
      <c r="C22" s="88" t="s">
        <v>355</v>
      </c>
      <c r="D22" s="88" t="s">
        <v>355</v>
      </c>
      <c r="E22" s="88" t="s">
        <v>355</v>
      </c>
      <c r="F22" s="88" t="s">
        <v>355</v>
      </c>
      <c r="G22" s="88" t="s">
        <v>355</v>
      </c>
      <c r="H22" s="89" t="s">
        <v>355</v>
      </c>
    </row>
    <row r="23" spans="2:8" ht="15" customHeight="1" x14ac:dyDescent="0.2">
      <c r="B23" s="85" t="s">
        <v>99</v>
      </c>
      <c r="C23" s="88" t="s">
        <v>100</v>
      </c>
      <c r="D23" s="88" t="s">
        <v>100</v>
      </c>
      <c r="E23" s="88" t="s">
        <v>100</v>
      </c>
      <c r="F23" s="88" t="s">
        <v>100</v>
      </c>
      <c r="G23" s="88" t="s">
        <v>100</v>
      </c>
      <c r="H23" s="89" t="s">
        <v>100</v>
      </c>
    </row>
    <row r="24" spans="2:8" ht="15" customHeight="1" x14ac:dyDescent="0.2">
      <c r="B24" s="75" t="s">
        <v>101</v>
      </c>
      <c r="C24" s="90" t="s">
        <v>102</v>
      </c>
      <c r="D24" s="90" t="s">
        <v>102</v>
      </c>
      <c r="E24" s="90" t="s">
        <v>102</v>
      </c>
      <c r="F24" s="90" t="s">
        <v>102</v>
      </c>
      <c r="G24" s="90" t="s">
        <v>102</v>
      </c>
      <c r="H24" s="91" t="s">
        <v>102</v>
      </c>
    </row>
    <row r="25" spans="2:8" x14ac:dyDescent="0.2">
      <c r="B25" s="75" t="s">
        <v>103</v>
      </c>
      <c r="C25" s="92">
        <v>345</v>
      </c>
      <c r="D25" s="92">
        <v>345</v>
      </c>
      <c r="E25" s="92">
        <v>345</v>
      </c>
      <c r="F25" s="92">
        <v>345</v>
      </c>
      <c r="G25" s="92">
        <v>345</v>
      </c>
      <c r="H25" s="93">
        <v>138</v>
      </c>
    </row>
    <row r="26" spans="2:8" ht="15" customHeight="1" x14ac:dyDescent="0.2">
      <c r="B26" s="75" t="s">
        <v>104</v>
      </c>
      <c r="C26" s="90" t="s">
        <v>105</v>
      </c>
      <c r="D26" s="90" t="s">
        <v>105</v>
      </c>
      <c r="E26" s="90" t="s">
        <v>105</v>
      </c>
      <c r="F26" s="90" t="s">
        <v>105</v>
      </c>
      <c r="G26" s="90" t="s">
        <v>105</v>
      </c>
      <c r="H26" s="91" t="s">
        <v>105</v>
      </c>
    </row>
    <row r="27" spans="2:8" ht="15" customHeight="1" x14ac:dyDescent="0.2">
      <c r="B27" s="75" t="s">
        <v>106</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107</v>
      </c>
      <c r="C29" s="70"/>
      <c r="D29" s="70"/>
      <c r="E29" s="70"/>
      <c r="F29" s="70"/>
      <c r="G29" s="70"/>
      <c r="H29" s="71"/>
    </row>
    <row r="30" spans="2:8" ht="15.75" thickTop="1" x14ac:dyDescent="0.2">
      <c r="B30" s="96"/>
      <c r="C30" s="97"/>
      <c r="D30" s="97"/>
      <c r="E30" s="97"/>
      <c r="F30" s="97"/>
      <c r="G30" s="97"/>
      <c r="H30" s="98"/>
    </row>
    <row r="31" spans="2:8" x14ac:dyDescent="0.2">
      <c r="B31" s="78" t="s">
        <v>108</v>
      </c>
      <c r="C31" s="99"/>
      <c r="D31" s="99"/>
      <c r="E31" s="99"/>
      <c r="F31" s="99"/>
      <c r="G31" s="99"/>
      <c r="H31" s="100"/>
    </row>
    <row r="32" spans="2:8" x14ac:dyDescent="0.2">
      <c r="B32" s="101" t="s">
        <v>109</v>
      </c>
      <c r="C32" s="102">
        <v>77.7</v>
      </c>
      <c r="D32" s="102">
        <v>78.099999999999994</v>
      </c>
      <c r="E32" s="102">
        <v>78.900000000000006</v>
      </c>
      <c r="F32" s="102">
        <v>79.900000000000006</v>
      </c>
      <c r="G32" s="102">
        <v>81.099999999999994</v>
      </c>
      <c r="H32" s="103">
        <v>78</v>
      </c>
    </row>
    <row r="33" spans="2:8" x14ac:dyDescent="0.2">
      <c r="B33" s="101" t="s">
        <v>110</v>
      </c>
      <c r="C33" s="104">
        <v>0.46899999999999997</v>
      </c>
      <c r="D33" s="104">
        <v>0.48</v>
      </c>
      <c r="E33" s="104">
        <v>0.51</v>
      </c>
      <c r="F33" s="104">
        <v>0.48200000000000004</v>
      </c>
      <c r="G33" s="104">
        <v>0.41199999999999998</v>
      </c>
      <c r="H33" s="105">
        <v>0.52700000000000002</v>
      </c>
    </row>
    <row r="34" spans="2:8" x14ac:dyDescent="0.2">
      <c r="B34" s="101" t="s">
        <v>67</v>
      </c>
      <c r="C34" s="99">
        <v>352800</v>
      </c>
      <c r="D34" s="99">
        <v>354300</v>
      </c>
      <c r="E34" s="99">
        <v>355100</v>
      </c>
      <c r="F34" s="99">
        <v>355000</v>
      </c>
      <c r="G34" s="99">
        <v>357400</v>
      </c>
      <c r="H34" s="100">
        <v>357200</v>
      </c>
    </row>
    <row r="35" spans="2:8" x14ac:dyDescent="0.2">
      <c r="B35" s="101" t="s">
        <v>71</v>
      </c>
      <c r="C35" s="99">
        <v>9380</v>
      </c>
      <c r="D35" s="99">
        <v>9380</v>
      </c>
      <c r="E35" s="99">
        <v>9390</v>
      </c>
      <c r="F35" s="99">
        <v>9390</v>
      </c>
      <c r="G35" s="99">
        <v>9380</v>
      </c>
      <c r="H35" s="100">
        <v>9390</v>
      </c>
    </row>
    <row r="36" spans="2:8" x14ac:dyDescent="0.2">
      <c r="B36" s="101" t="s">
        <v>111</v>
      </c>
      <c r="C36" s="99">
        <v>3350</v>
      </c>
      <c r="D36" s="99">
        <v>3320</v>
      </c>
      <c r="E36" s="99">
        <v>3330</v>
      </c>
      <c r="F36" s="99">
        <v>3330</v>
      </c>
      <c r="G36" s="99">
        <v>3350</v>
      </c>
      <c r="H36" s="100">
        <v>3350</v>
      </c>
    </row>
    <row r="37" spans="2:8" ht="15" customHeight="1" x14ac:dyDescent="0.2">
      <c r="B37" s="78"/>
      <c r="C37" s="99"/>
      <c r="D37" s="99"/>
      <c r="E37" s="99"/>
      <c r="F37" s="99"/>
      <c r="G37" s="99"/>
      <c r="H37" s="100"/>
    </row>
    <row r="38" spans="2:8" x14ac:dyDescent="0.2">
      <c r="B38" s="101" t="s">
        <v>112</v>
      </c>
      <c r="C38" s="99">
        <v>137400</v>
      </c>
      <c r="D38" s="99">
        <v>138000</v>
      </c>
      <c r="E38" s="99">
        <v>138400</v>
      </c>
      <c r="F38" s="99">
        <v>138000</v>
      </c>
      <c r="G38" s="99">
        <v>138100</v>
      </c>
      <c r="H38" s="100">
        <v>139500</v>
      </c>
    </row>
    <row r="39" spans="2:8" x14ac:dyDescent="0.2">
      <c r="B39" s="101" t="s">
        <v>113</v>
      </c>
      <c r="C39" s="99">
        <v>12000</v>
      </c>
      <c r="D39" s="99">
        <v>12000</v>
      </c>
      <c r="E39" s="99">
        <v>12010</v>
      </c>
      <c r="F39" s="99">
        <v>12010</v>
      </c>
      <c r="G39" s="99">
        <v>12020</v>
      </c>
      <c r="H39" s="100">
        <v>12000</v>
      </c>
    </row>
    <row r="40" spans="2:8" x14ac:dyDescent="0.2">
      <c r="B40" s="101" t="s">
        <v>114</v>
      </c>
      <c r="C40" s="99">
        <v>1670</v>
      </c>
      <c r="D40" s="99">
        <v>1660</v>
      </c>
      <c r="E40" s="99">
        <v>1660</v>
      </c>
      <c r="F40" s="99">
        <v>1660</v>
      </c>
      <c r="G40" s="99">
        <v>1660</v>
      </c>
      <c r="H40" s="100">
        <v>1670</v>
      </c>
    </row>
    <row r="41" spans="2:8" x14ac:dyDescent="0.2">
      <c r="B41" s="78"/>
      <c r="C41" s="99"/>
      <c r="D41" s="99"/>
      <c r="E41" s="99"/>
      <c r="F41" s="99"/>
      <c r="G41" s="99"/>
      <c r="H41" s="100"/>
    </row>
    <row r="42" spans="2:8" x14ac:dyDescent="0.2">
      <c r="B42" s="78"/>
      <c r="C42" s="99"/>
      <c r="D42" s="99"/>
      <c r="E42" s="99"/>
      <c r="F42" s="99"/>
      <c r="G42" s="99"/>
      <c r="H42" s="106"/>
    </row>
    <row r="43" spans="2:8" x14ac:dyDescent="0.2">
      <c r="B43" s="78" t="s">
        <v>115</v>
      </c>
      <c r="C43" s="99"/>
      <c r="D43" s="99"/>
      <c r="E43" s="99"/>
      <c r="F43" s="99"/>
      <c r="G43" s="99"/>
      <c r="H43" s="100"/>
    </row>
    <row r="44" spans="2:8" x14ac:dyDescent="0.2">
      <c r="B44" s="101" t="s">
        <v>109</v>
      </c>
      <c r="C44" s="102">
        <v>28.4</v>
      </c>
      <c r="D44" s="102">
        <v>29.2</v>
      </c>
      <c r="E44" s="102">
        <v>32.6</v>
      </c>
      <c r="F44" s="102">
        <v>33.200000000000003</v>
      </c>
      <c r="G44" s="102">
        <v>38.1</v>
      </c>
      <c r="H44" s="103">
        <v>35.9</v>
      </c>
    </row>
    <row r="45" spans="2:8" x14ac:dyDescent="0.2">
      <c r="B45" s="101" t="s">
        <v>110</v>
      </c>
      <c r="C45" s="104">
        <v>0.72799999999999998</v>
      </c>
      <c r="D45" s="104">
        <v>0.68299999999999994</v>
      </c>
      <c r="E45" s="104">
        <v>0.66900000000000004</v>
      </c>
      <c r="F45" s="104">
        <v>0.65400000000000003</v>
      </c>
      <c r="G45" s="104">
        <v>0.55000000000000004</v>
      </c>
      <c r="H45" s="105">
        <v>0.622</v>
      </c>
    </row>
    <row r="46" spans="2:8" ht="15" customHeight="1" x14ac:dyDescent="0.2">
      <c r="B46" s="101" t="s">
        <v>67</v>
      </c>
      <c r="C46" s="99">
        <v>368100</v>
      </c>
      <c r="D46" s="99">
        <v>369900</v>
      </c>
      <c r="E46" s="99">
        <v>370800</v>
      </c>
      <c r="F46" s="99">
        <v>370700</v>
      </c>
      <c r="G46" s="99">
        <v>371600</v>
      </c>
      <c r="H46" s="100">
        <v>372200</v>
      </c>
    </row>
    <row r="47" spans="2:8" ht="15" customHeight="1" x14ac:dyDescent="0.2">
      <c r="B47" s="101" t="s">
        <v>71</v>
      </c>
      <c r="C47" s="99">
        <v>9270</v>
      </c>
      <c r="D47" s="99">
        <v>9270</v>
      </c>
      <c r="E47" s="99">
        <v>9280</v>
      </c>
      <c r="F47" s="99">
        <v>9290</v>
      </c>
      <c r="G47" s="99">
        <v>9300</v>
      </c>
      <c r="H47" s="100">
        <v>9290</v>
      </c>
    </row>
    <row r="48" spans="2:8" ht="15" customHeight="1" x14ac:dyDescent="0.2">
      <c r="B48" s="101" t="s">
        <v>111</v>
      </c>
      <c r="C48" s="99">
        <v>3460</v>
      </c>
      <c r="D48" s="99">
        <v>3430</v>
      </c>
      <c r="E48" s="99">
        <v>3440</v>
      </c>
      <c r="F48" s="99">
        <v>3440</v>
      </c>
      <c r="G48" s="99">
        <v>3460</v>
      </c>
      <c r="H48" s="100">
        <v>3460</v>
      </c>
    </row>
    <row r="49" spans="2:8" ht="15" customHeight="1" x14ac:dyDescent="0.2">
      <c r="B49" s="78"/>
      <c r="C49" s="99"/>
      <c r="D49" s="99"/>
      <c r="E49" s="99"/>
      <c r="F49" s="99"/>
      <c r="G49" s="99"/>
      <c r="H49" s="100"/>
    </row>
    <row r="50" spans="2:8" ht="15" customHeight="1" x14ac:dyDescent="0.2">
      <c r="B50" s="101" t="s">
        <v>112</v>
      </c>
      <c r="C50" s="99">
        <v>110400</v>
      </c>
      <c r="D50" s="99">
        <v>111000</v>
      </c>
      <c r="E50" s="99">
        <v>111200</v>
      </c>
      <c r="F50" s="99">
        <v>111200</v>
      </c>
      <c r="G50" s="99">
        <v>111500</v>
      </c>
      <c r="H50" s="100">
        <v>111600</v>
      </c>
    </row>
    <row r="51" spans="2:8" x14ac:dyDescent="0.2">
      <c r="B51" s="101" t="s">
        <v>113</v>
      </c>
      <c r="C51" s="99">
        <v>13440</v>
      </c>
      <c r="D51" s="99">
        <v>13440</v>
      </c>
      <c r="E51" s="99">
        <v>13420</v>
      </c>
      <c r="F51" s="99">
        <v>13420</v>
      </c>
      <c r="G51" s="99">
        <v>13410</v>
      </c>
      <c r="H51" s="100">
        <v>13410</v>
      </c>
    </row>
    <row r="52" spans="2:8" x14ac:dyDescent="0.2">
      <c r="B52" s="101" t="s">
        <v>114</v>
      </c>
      <c r="C52" s="99">
        <v>1500</v>
      </c>
      <c r="D52" s="99">
        <v>1490</v>
      </c>
      <c r="E52" s="99">
        <v>1490</v>
      </c>
      <c r="F52" s="99">
        <v>1490</v>
      </c>
      <c r="G52" s="99">
        <v>1490</v>
      </c>
      <c r="H52" s="100">
        <v>1500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116</v>
      </c>
      <c r="C55" s="99"/>
      <c r="D55" s="99"/>
      <c r="E55" s="99"/>
      <c r="F55" s="99"/>
      <c r="G55" s="99"/>
      <c r="H55" s="100"/>
    </row>
    <row r="56" spans="2:8" x14ac:dyDescent="0.2">
      <c r="B56" s="101" t="s">
        <v>109</v>
      </c>
      <c r="C56" s="102">
        <v>59</v>
      </c>
      <c r="D56" s="102">
        <v>59</v>
      </c>
      <c r="E56" s="102">
        <v>59</v>
      </c>
      <c r="F56" s="102">
        <v>59</v>
      </c>
      <c r="G56" s="102">
        <v>59</v>
      </c>
      <c r="H56" s="103">
        <v>59</v>
      </c>
    </row>
    <row r="57" spans="2:8" x14ac:dyDescent="0.2">
      <c r="B57" s="101" t="s">
        <v>110</v>
      </c>
      <c r="C57" s="104">
        <v>0.6</v>
      </c>
      <c r="D57" s="104">
        <v>0.6</v>
      </c>
      <c r="E57" s="104">
        <v>0.6</v>
      </c>
      <c r="F57" s="104">
        <v>0.6</v>
      </c>
      <c r="G57" s="104">
        <v>0.6</v>
      </c>
      <c r="H57" s="105">
        <v>0.6</v>
      </c>
    </row>
    <row r="58" spans="2:8" x14ac:dyDescent="0.2">
      <c r="B58" s="101" t="s">
        <v>67</v>
      </c>
      <c r="C58" s="99">
        <v>359500</v>
      </c>
      <c r="D58" s="99">
        <v>361400</v>
      </c>
      <c r="E58" s="99">
        <v>362900</v>
      </c>
      <c r="F58" s="99">
        <v>362900</v>
      </c>
      <c r="G58" s="99">
        <v>364800</v>
      </c>
      <c r="H58" s="100">
        <v>364900</v>
      </c>
    </row>
    <row r="59" spans="2:8" x14ac:dyDescent="0.2">
      <c r="B59" s="101" t="s">
        <v>71</v>
      </c>
      <c r="C59" s="99">
        <v>9340</v>
      </c>
      <c r="D59" s="99">
        <v>9340</v>
      </c>
      <c r="E59" s="99">
        <v>9340</v>
      </c>
      <c r="F59" s="99">
        <v>9340</v>
      </c>
      <c r="G59" s="99">
        <v>9340</v>
      </c>
      <c r="H59" s="100">
        <v>9340</v>
      </c>
    </row>
    <row r="60" spans="2:8" x14ac:dyDescent="0.2">
      <c r="B60" s="101" t="s">
        <v>111</v>
      </c>
      <c r="C60" s="99">
        <v>3400</v>
      </c>
      <c r="D60" s="99">
        <v>3380</v>
      </c>
      <c r="E60" s="99">
        <v>3390</v>
      </c>
      <c r="F60" s="99">
        <v>3390</v>
      </c>
      <c r="G60" s="99">
        <v>3410</v>
      </c>
      <c r="H60" s="100">
        <v>3410</v>
      </c>
    </row>
    <row r="61" spans="2:8" x14ac:dyDescent="0.2">
      <c r="B61" s="78"/>
      <c r="C61" s="99"/>
      <c r="D61" s="99"/>
      <c r="E61" s="99"/>
      <c r="F61" s="99"/>
      <c r="G61" s="99"/>
      <c r="H61" s="100"/>
    </row>
    <row r="62" spans="2:8" ht="15" customHeight="1" x14ac:dyDescent="0.2">
      <c r="B62" s="101" t="s">
        <v>112</v>
      </c>
      <c r="C62" s="99">
        <v>108400</v>
      </c>
      <c r="D62" s="99">
        <v>107400</v>
      </c>
      <c r="E62" s="99">
        <v>107800</v>
      </c>
      <c r="F62" s="99">
        <v>107800</v>
      </c>
      <c r="G62" s="99">
        <v>108400</v>
      </c>
      <c r="H62" s="100">
        <v>108400</v>
      </c>
    </row>
    <row r="63" spans="2:8" ht="15" customHeight="1" x14ac:dyDescent="0.2">
      <c r="B63" s="101" t="s">
        <v>113</v>
      </c>
      <c r="C63" s="99">
        <v>13440</v>
      </c>
      <c r="D63" s="99">
        <v>13450</v>
      </c>
      <c r="E63" s="99">
        <v>13450</v>
      </c>
      <c r="F63" s="99">
        <v>13450</v>
      </c>
      <c r="G63" s="99">
        <v>13440</v>
      </c>
      <c r="H63" s="100">
        <v>13440</v>
      </c>
    </row>
    <row r="64" spans="2:8" ht="15" customHeight="1" x14ac:dyDescent="0.2">
      <c r="B64" s="101" t="s">
        <v>114</v>
      </c>
      <c r="C64" s="99">
        <v>1480</v>
      </c>
      <c r="D64" s="99">
        <v>1440</v>
      </c>
      <c r="E64" s="99">
        <v>1450</v>
      </c>
      <c r="F64" s="99">
        <v>1450</v>
      </c>
      <c r="G64" s="99">
        <v>1460</v>
      </c>
      <c r="H64" s="100">
        <v>1460</v>
      </c>
    </row>
    <row r="65" spans="2:8" ht="15" customHeight="1" x14ac:dyDescent="0.2">
      <c r="B65" s="78"/>
      <c r="C65" s="99"/>
      <c r="D65" s="99"/>
      <c r="E65" s="99"/>
      <c r="F65" s="99"/>
      <c r="G65" s="99"/>
      <c r="H65" s="100"/>
    </row>
    <row r="66" spans="2:8" ht="15" customHeight="1" x14ac:dyDescent="0.2">
      <c r="B66" s="78"/>
      <c r="C66" s="99"/>
      <c r="D66" s="99"/>
      <c r="E66" s="99"/>
      <c r="F66" s="99"/>
      <c r="G66" s="99"/>
      <c r="H66" s="100"/>
    </row>
    <row r="67" spans="2:8" ht="15" customHeight="1" x14ac:dyDescent="0.2">
      <c r="B67" s="78" t="s">
        <v>117</v>
      </c>
      <c r="C67" s="99"/>
      <c r="D67" s="99"/>
      <c r="E67" s="99"/>
      <c r="F67" s="99"/>
      <c r="G67" s="99"/>
      <c r="H67" s="100"/>
    </row>
    <row r="68" spans="2:8" ht="15" customHeight="1" x14ac:dyDescent="0.2">
      <c r="B68" s="101" t="s">
        <v>109</v>
      </c>
      <c r="C68" s="102">
        <v>91.6</v>
      </c>
      <c r="D68" s="102">
        <v>92.3</v>
      </c>
      <c r="E68" s="102">
        <v>91.2</v>
      </c>
      <c r="F68" s="102">
        <v>92.3</v>
      </c>
      <c r="G68" s="102">
        <v>95.1</v>
      </c>
      <c r="H68" s="103">
        <v>88.6</v>
      </c>
    </row>
    <row r="69" spans="2:8" ht="15" customHeight="1" x14ac:dyDescent="0.2">
      <c r="B69" s="101" t="s">
        <v>110</v>
      </c>
      <c r="C69" s="104">
        <v>0.34200000000000003</v>
      </c>
      <c r="D69" s="104">
        <v>0.35799999999999998</v>
      </c>
      <c r="E69" s="104">
        <v>0.36</v>
      </c>
      <c r="F69" s="104">
        <v>0.35799999999999998</v>
      </c>
      <c r="G69" s="104">
        <v>0.254</v>
      </c>
      <c r="H69" s="105">
        <v>0.502</v>
      </c>
    </row>
    <row r="70" spans="2:8" ht="15" customHeight="1" x14ac:dyDescent="0.2">
      <c r="B70" s="101" t="s">
        <v>67</v>
      </c>
      <c r="C70" s="99">
        <v>348900</v>
      </c>
      <c r="D70" s="99">
        <v>350200</v>
      </c>
      <c r="E70" s="99">
        <v>352000</v>
      </c>
      <c r="F70" s="99">
        <v>350200</v>
      </c>
      <c r="G70" s="99">
        <v>354500</v>
      </c>
      <c r="H70" s="100">
        <v>352600</v>
      </c>
    </row>
    <row r="71" spans="2:8" ht="15" customHeight="1" x14ac:dyDescent="0.2">
      <c r="B71" s="101" t="s">
        <v>71</v>
      </c>
      <c r="C71" s="99">
        <v>9430</v>
      </c>
      <c r="D71" s="99">
        <v>9430</v>
      </c>
      <c r="E71" s="99">
        <v>9430</v>
      </c>
      <c r="F71" s="99">
        <v>9430</v>
      </c>
      <c r="G71" s="99">
        <v>9420</v>
      </c>
      <c r="H71" s="100">
        <v>9440</v>
      </c>
    </row>
    <row r="72" spans="2:8" ht="15" customHeight="1" x14ac:dyDescent="0.2">
      <c r="B72" s="101" t="s">
        <v>111</v>
      </c>
      <c r="C72" s="99">
        <v>3330</v>
      </c>
      <c r="D72" s="99">
        <v>3300</v>
      </c>
      <c r="E72" s="99">
        <v>3320</v>
      </c>
      <c r="F72" s="99">
        <v>3300</v>
      </c>
      <c r="G72" s="99">
        <v>3340</v>
      </c>
      <c r="H72" s="100">
        <v>3330</v>
      </c>
    </row>
    <row r="73" spans="2:8" ht="15" customHeight="1" x14ac:dyDescent="0.2">
      <c r="B73" s="78"/>
      <c r="C73" s="99"/>
      <c r="D73" s="99"/>
      <c r="E73" s="99"/>
      <c r="F73" s="99"/>
      <c r="G73" s="99"/>
      <c r="H73" s="100"/>
    </row>
    <row r="74" spans="2:8" ht="15" customHeight="1" x14ac:dyDescent="0.2">
      <c r="B74" s="101" t="s">
        <v>112</v>
      </c>
      <c r="C74" s="99">
        <v>131200</v>
      </c>
      <c r="D74" s="99">
        <v>131700</v>
      </c>
      <c r="E74" s="99">
        <v>132700</v>
      </c>
      <c r="F74" s="99">
        <v>131300</v>
      </c>
      <c r="G74" s="99">
        <v>131100</v>
      </c>
      <c r="H74" s="100">
        <v>135200</v>
      </c>
    </row>
    <row r="75" spans="2:8" ht="15" customHeight="1" x14ac:dyDescent="0.2">
      <c r="B75" s="101" t="s">
        <v>113</v>
      </c>
      <c r="C75" s="99">
        <v>12130</v>
      </c>
      <c r="D75" s="99">
        <v>12140</v>
      </c>
      <c r="E75" s="99">
        <v>12130</v>
      </c>
      <c r="F75" s="99">
        <v>12150</v>
      </c>
      <c r="G75" s="99">
        <v>12160</v>
      </c>
      <c r="H75" s="100">
        <v>12110</v>
      </c>
    </row>
    <row r="76" spans="2:8" ht="15" customHeight="1" x14ac:dyDescent="0.2">
      <c r="B76" s="101" t="s">
        <v>114</v>
      </c>
      <c r="C76" s="99">
        <v>1610</v>
      </c>
      <c r="D76" s="99">
        <v>1600</v>
      </c>
      <c r="E76" s="99">
        <v>1610</v>
      </c>
      <c r="F76" s="99">
        <v>1590</v>
      </c>
      <c r="G76" s="99">
        <v>1590</v>
      </c>
      <c r="H76" s="100">
        <v>1640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118</v>
      </c>
      <c r="C79" s="99"/>
      <c r="D79" s="99"/>
      <c r="E79" s="99"/>
      <c r="F79" s="99"/>
      <c r="G79" s="99"/>
      <c r="H79" s="100"/>
    </row>
    <row r="80" spans="2:8" ht="15" customHeight="1" x14ac:dyDescent="0.2">
      <c r="B80" s="101" t="s">
        <v>109</v>
      </c>
      <c r="C80" s="102">
        <v>11.4</v>
      </c>
      <c r="D80" s="102">
        <v>10.9</v>
      </c>
      <c r="E80" s="102">
        <v>13.1</v>
      </c>
      <c r="F80" s="102">
        <v>14.5</v>
      </c>
      <c r="G80" s="102">
        <v>22.2</v>
      </c>
      <c r="H80" s="103">
        <v>17.5</v>
      </c>
    </row>
    <row r="81" spans="2:8" ht="15" customHeight="1" x14ac:dyDescent="0.2">
      <c r="B81" s="101" t="s">
        <v>110</v>
      </c>
      <c r="C81" s="104">
        <v>0.73299999999999998</v>
      </c>
      <c r="D81" s="104">
        <v>0.61699999999999999</v>
      </c>
      <c r="E81" s="104">
        <v>0.6984999999999999</v>
      </c>
      <c r="F81" s="104">
        <v>0.65900000000000003</v>
      </c>
      <c r="G81" s="104">
        <v>0.46700000000000003</v>
      </c>
      <c r="H81" s="105">
        <v>0.46899999999999997</v>
      </c>
    </row>
    <row r="82" spans="2:8" ht="15" customHeight="1" x14ac:dyDescent="0.2">
      <c r="B82" s="101" t="s">
        <v>67</v>
      </c>
      <c r="C82" s="99">
        <v>366000</v>
      </c>
      <c r="D82" s="99">
        <v>367900</v>
      </c>
      <c r="E82" s="99">
        <v>370100</v>
      </c>
      <c r="F82" s="99">
        <v>370500</v>
      </c>
      <c r="G82" s="99">
        <v>374300</v>
      </c>
      <c r="H82" s="100">
        <v>373300</v>
      </c>
    </row>
    <row r="83" spans="2:8" ht="15" customHeight="1" x14ac:dyDescent="0.2">
      <c r="B83" s="101" t="s">
        <v>71</v>
      </c>
      <c r="C83" s="99">
        <v>9210</v>
      </c>
      <c r="D83" s="99">
        <v>9210</v>
      </c>
      <c r="E83" s="99">
        <v>9210</v>
      </c>
      <c r="F83" s="99">
        <v>9220</v>
      </c>
      <c r="G83" s="99">
        <v>9250</v>
      </c>
      <c r="H83" s="100">
        <v>9230</v>
      </c>
    </row>
    <row r="84" spans="2:8" ht="15" customHeight="1" x14ac:dyDescent="0.2">
      <c r="B84" s="101" t="s">
        <v>111</v>
      </c>
      <c r="C84" s="99">
        <v>3410</v>
      </c>
      <c r="D84" s="99">
        <v>3390</v>
      </c>
      <c r="E84" s="99">
        <v>3410</v>
      </c>
      <c r="F84" s="99">
        <v>3420</v>
      </c>
      <c r="G84" s="99">
        <v>3460</v>
      </c>
      <c r="H84" s="100">
        <v>3450</v>
      </c>
    </row>
    <row r="85" spans="2:8" ht="15" customHeight="1" x14ac:dyDescent="0.2">
      <c r="B85" s="78"/>
      <c r="C85" s="99"/>
      <c r="D85" s="99"/>
      <c r="E85" s="99"/>
      <c r="F85" s="99"/>
      <c r="G85" s="99"/>
      <c r="H85" s="100"/>
    </row>
    <row r="86" spans="2:8" ht="15" customHeight="1" x14ac:dyDescent="0.2">
      <c r="B86" s="101" t="s">
        <v>112</v>
      </c>
      <c r="C86" s="99">
        <v>109800</v>
      </c>
      <c r="D86" s="99">
        <v>110400</v>
      </c>
      <c r="E86" s="99">
        <v>111000</v>
      </c>
      <c r="F86" s="99">
        <v>111100</v>
      </c>
      <c r="G86" s="99">
        <v>112300</v>
      </c>
      <c r="H86" s="100">
        <v>112000</v>
      </c>
    </row>
    <row r="87" spans="2:8" x14ac:dyDescent="0.2">
      <c r="B87" s="101" t="s">
        <v>113</v>
      </c>
      <c r="C87" s="99">
        <v>13590</v>
      </c>
      <c r="D87" s="99">
        <v>13590</v>
      </c>
      <c r="E87" s="99">
        <v>13590</v>
      </c>
      <c r="F87" s="99">
        <v>13580</v>
      </c>
      <c r="G87" s="99">
        <v>13480</v>
      </c>
      <c r="H87" s="100">
        <v>13540</v>
      </c>
    </row>
    <row r="88" spans="2:8" x14ac:dyDescent="0.2">
      <c r="B88" s="101" t="s">
        <v>114</v>
      </c>
      <c r="C88" s="99">
        <v>1510</v>
      </c>
      <c r="D88" s="99">
        <v>1500</v>
      </c>
      <c r="E88" s="99">
        <v>1510</v>
      </c>
      <c r="F88" s="99">
        <v>1510</v>
      </c>
      <c r="G88" s="99">
        <v>1510</v>
      </c>
      <c r="H88" s="100">
        <v>1520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119</v>
      </c>
      <c r="C91" s="99"/>
      <c r="D91" s="99"/>
      <c r="E91" s="99"/>
      <c r="F91" s="99"/>
      <c r="G91" s="99"/>
      <c r="H91" s="100"/>
    </row>
    <row r="92" spans="2:8" ht="15" customHeight="1" x14ac:dyDescent="0.2">
      <c r="B92" s="101" t="s">
        <v>109</v>
      </c>
      <c r="C92" s="102">
        <v>90</v>
      </c>
      <c r="D92" s="102">
        <v>90</v>
      </c>
      <c r="E92" s="102">
        <v>90</v>
      </c>
      <c r="F92" s="102">
        <v>90</v>
      </c>
      <c r="G92" s="102">
        <v>90</v>
      </c>
      <c r="H92" s="103">
        <v>90</v>
      </c>
    </row>
    <row r="93" spans="2:8" ht="15" customHeight="1" x14ac:dyDescent="0.2">
      <c r="B93" s="101" t="s">
        <v>110</v>
      </c>
      <c r="C93" s="104">
        <v>0.7</v>
      </c>
      <c r="D93" s="104">
        <v>0.7</v>
      </c>
      <c r="E93" s="104">
        <v>0.7</v>
      </c>
      <c r="F93" s="104">
        <v>0.7</v>
      </c>
      <c r="G93" s="104">
        <v>0.7</v>
      </c>
      <c r="H93" s="105">
        <v>0.7</v>
      </c>
    </row>
    <row r="94" spans="2:8" ht="15" customHeight="1" x14ac:dyDescent="0.2">
      <c r="B94" s="101" t="s">
        <v>67</v>
      </c>
      <c r="C94" s="99">
        <v>343700</v>
      </c>
      <c r="D94" s="99">
        <v>345600</v>
      </c>
      <c r="E94" s="99">
        <v>347000</v>
      </c>
      <c r="F94" s="99">
        <v>347000</v>
      </c>
      <c r="G94" s="99">
        <v>348800</v>
      </c>
      <c r="H94" s="100">
        <v>348800</v>
      </c>
    </row>
    <row r="95" spans="2:8" ht="15" customHeight="1" x14ac:dyDescent="0.2">
      <c r="B95" s="101" t="s">
        <v>71</v>
      </c>
      <c r="C95" s="99">
        <v>9460</v>
      </c>
      <c r="D95" s="99">
        <v>9460</v>
      </c>
      <c r="E95" s="99">
        <v>9460</v>
      </c>
      <c r="F95" s="99">
        <v>9460</v>
      </c>
      <c r="G95" s="99">
        <v>9460</v>
      </c>
      <c r="H95" s="100">
        <v>9460</v>
      </c>
    </row>
    <row r="96" spans="2:8" ht="15" customHeight="1" x14ac:dyDescent="0.2">
      <c r="B96" s="101" t="s">
        <v>111</v>
      </c>
      <c r="C96" s="99">
        <v>3290</v>
      </c>
      <c r="D96" s="99">
        <v>3270</v>
      </c>
      <c r="E96" s="99">
        <v>3280</v>
      </c>
      <c r="F96" s="99">
        <v>3280</v>
      </c>
      <c r="G96" s="99">
        <v>3300</v>
      </c>
      <c r="H96" s="100">
        <v>3300</v>
      </c>
    </row>
    <row r="97" spans="2:8" ht="15" customHeight="1" x14ac:dyDescent="0.2">
      <c r="B97" s="78"/>
      <c r="C97" s="99"/>
      <c r="D97" s="99"/>
      <c r="E97" s="99"/>
      <c r="F97" s="99"/>
      <c r="G97" s="99"/>
      <c r="H97" s="100"/>
    </row>
    <row r="98" spans="2:8" ht="15" customHeight="1" x14ac:dyDescent="0.2">
      <c r="B98" s="101" t="s">
        <v>112</v>
      </c>
      <c r="C98" s="99">
        <v>131200</v>
      </c>
      <c r="D98" s="99">
        <v>134000</v>
      </c>
      <c r="E98" s="99">
        <v>134500</v>
      </c>
      <c r="F98" s="99">
        <v>134500</v>
      </c>
      <c r="G98" s="99">
        <v>135200</v>
      </c>
      <c r="H98" s="100">
        <v>135200</v>
      </c>
    </row>
    <row r="99" spans="2:8" ht="15" customHeight="1" x14ac:dyDescent="0.2">
      <c r="B99" s="101" t="s">
        <v>113</v>
      </c>
      <c r="C99" s="99">
        <v>12130</v>
      </c>
      <c r="D99" s="99">
        <v>12160</v>
      </c>
      <c r="E99" s="99">
        <v>12160</v>
      </c>
      <c r="F99" s="99">
        <v>12160</v>
      </c>
      <c r="G99" s="99">
        <v>12150</v>
      </c>
      <c r="H99" s="100">
        <v>12150</v>
      </c>
    </row>
    <row r="100" spans="2:8" ht="15" customHeight="1" x14ac:dyDescent="0.2">
      <c r="B100" s="101" t="s">
        <v>114</v>
      </c>
      <c r="C100" s="99">
        <v>1610</v>
      </c>
      <c r="D100" s="99">
        <v>1630</v>
      </c>
      <c r="E100" s="99">
        <v>1630</v>
      </c>
      <c r="F100" s="99">
        <v>1630</v>
      </c>
      <c r="G100" s="99">
        <v>1640</v>
      </c>
      <c r="H100" s="100">
        <v>1640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120</v>
      </c>
      <c r="C103" s="99"/>
      <c r="D103" s="99"/>
      <c r="E103" s="99"/>
      <c r="F103" s="99"/>
      <c r="G103" s="99"/>
      <c r="H103" s="100"/>
    </row>
    <row r="104" spans="2:8" x14ac:dyDescent="0.2">
      <c r="B104" s="78"/>
      <c r="C104" s="99"/>
      <c r="D104" s="99"/>
      <c r="E104" s="99"/>
      <c r="F104" s="99"/>
      <c r="G104" s="99"/>
      <c r="H104" s="100"/>
    </row>
    <row r="105" spans="2:8" x14ac:dyDescent="0.2">
      <c r="B105" s="78" t="s">
        <v>121</v>
      </c>
      <c r="C105" s="99" t="s">
        <v>122</v>
      </c>
      <c r="D105" s="99" t="s">
        <v>122</v>
      </c>
      <c r="E105" s="99" t="s">
        <v>122</v>
      </c>
      <c r="F105" s="99" t="s">
        <v>122</v>
      </c>
      <c r="G105" s="99" t="s">
        <v>122</v>
      </c>
      <c r="H105" s="100" t="s">
        <v>122</v>
      </c>
    </row>
    <row r="106" spans="2:8" hidden="1" x14ac:dyDescent="0.2">
      <c r="B106" s="78"/>
      <c r="C106" s="99"/>
      <c r="D106" s="99"/>
      <c r="E106" s="99"/>
      <c r="F106" s="99"/>
      <c r="G106" s="99"/>
      <c r="H106" s="100"/>
    </row>
    <row r="107" spans="2:8" ht="15.75" hidden="1" x14ac:dyDescent="0.2">
      <c r="B107" s="107"/>
      <c r="C107" s="99"/>
      <c r="D107" s="99"/>
      <c r="E107" s="99"/>
      <c r="F107" s="99"/>
      <c r="G107" s="99"/>
      <c r="H107" s="100"/>
    </row>
    <row r="108" spans="2:8" hidden="1" x14ac:dyDescent="0.2">
      <c r="B108" s="78"/>
      <c r="C108" s="108"/>
      <c r="D108" s="108"/>
      <c r="E108" s="108"/>
      <c r="F108" s="108"/>
      <c r="G108" s="108"/>
      <c r="H108" s="109"/>
    </row>
    <row r="109" spans="2:8" hidden="1" x14ac:dyDescent="0.2">
      <c r="B109" s="78"/>
      <c r="C109" s="108"/>
      <c r="D109" s="108"/>
      <c r="E109" s="108"/>
      <c r="F109" s="108"/>
      <c r="G109" s="99"/>
      <c r="H109" s="109"/>
    </row>
    <row r="110" spans="2:8" ht="15" hidden="1" customHeight="1" x14ac:dyDescent="0.2">
      <c r="B110" s="78"/>
      <c r="C110" s="99"/>
      <c r="D110" s="99"/>
      <c r="E110" s="99"/>
      <c r="F110" s="99"/>
      <c r="G110" s="99"/>
      <c r="H110" s="100"/>
    </row>
    <row r="111" spans="2:8" ht="15" hidden="1" customHeight="1" x14ac:dyDescent="0.2">
      <c r="B111" s="78"/>
      <c r="C111" s="99"/>
      <c r="D111" s="99"/>
      <c r="E111" s="99"/>
      <c r="F111" s="99"/>
      <c r="G111" s="99"/>
      <c r="H111" s="100"/>
    </row>
    <row r="112" spans="2:8" ht="15" hidden="1" customHeight="1" x14ac:dyDescent="0.2">
      <c r="B112" s="78"/>
      <c r="C112" s="99"/>
      <c r="D112" s="99"/>
      <c r="E112" s="99"/>
      <c r="F112" s="99"/>
      <c r="G112" s="99"/>
      <c r="H112" s="100"/>
    </row>
    <row r="113" spans="2:8" ht="15" hidden="1" customHeight="1" x14ac:dyDescent="0.2">
      <c r="B113" s="78"/>
      <c r="C113" s="99"/>
      <c r="D113" s="99"/>
      <c r="E113" s="99"/>
      <c r="F113" s="99"/>
      <c r="G113" s="99"/>
      <c r="H113" s="100"/>
    </row>
    <row r="114" spans="2:8" ht="15" hidden="1" customHeight="1" x14ac:dyDescent="0.2">
      <c r="B114" s="78"/>
      <c r="C114" s="99"/>
      <c r="D114" s="99"/>
      <c r="E114" s="99"/>
      <c r="F114" s="99"/>
      <c r="G114" s="99"/>
      <c r="H114" s="100"/>
    </row>
    <row r="115" spans="2:8" ht="15" hidden="1" customHeight="1" x14ac:dyDescent="0.2">
      <c r="B115" s="78"/>
      <c r="C115" s="99"/>
      <c r="D115" s="99"/>
      <c r="E115" s="99"/>
      <c r="F115" s="99"/>
      <c r="G115" s="99"/>
      <c r="H115" s="100"/>
    </row>
    <row r="116" spans="2:8" hidden="1" x14ac:dyDescent="0.2">
      <c r="B116" s="78"/>
      <c r="C116" s="99"/>
      <c r="D116" s="99"/>
      <c r="E116" s="99"/>
      <c r="F116" s="99"/>
      <c r="G116" s="99"/>
      <c r="H116" s="100"/>
    </row>
    <row r="117" spans="2:8" ht="15.75" hidden="1" x14ac:dyDescent="0.2">
      <c r="B117" s="107"/>
      <c r="C117" s="99"/>
      <c r="D117" s="99"/>
      <c r="E117" s="99"/>
      <c r="F117" s="99"/>
      <c r="G117" s="99"/>
      <c r="H117" s="100"/>
    </row>
    <row r="118" spans="2:8" hidden="1"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123</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124</v>
      </c>
      <c r="C122" s="120">
        <v>249.58</v>
      </c>
      <c r="D122" s="120">
        <v>252.64</v>
      </c>
      <c r="E122" s="120">
        <v>256.49</v>
      </c>
      <c r="F122" s="120">
        <v>266.81</v>
      </c>
      <c r="G122" s="120">
        <v>300.58</v>
      </c>
      <c r="H122" s="121">
        <v>297.58</v>
      </c>
    </row>
    <row r="123" spans="2:8" s="118" customFormat="1" ht="15.75" x14ac:dyDescent="0.2">
      <c r="B123" s="122" t="s">
        <v>125</v>
      </c>
      <c r="C123" s="123">
        <v>62.442644214911091</v>
      </c>
      <c r="D123" s="123">
        <v>63.20822836146781</v>
      </c>
      <c r="E123" s="123">
        <v>64.171463317102919</v>
      </c>
      <c r="F123" s="123">
        <v>66.753433380000118</v>
      </c>
      <c r="G123" s="123">
        <v>75.202379990856542</v>
      </c>
      <c r="H123" s="124">
        <v>74.451807298153867</v>
      </c>
    </row>
    <row r="124" spans="2:8" s="118" customFormat="1" ht="15.75" x14ac:dyDescent="0.2">
      <c r="B124" s="122" t="s">
        <v>126</v>
      </c>
      <c r="C124" s="123">
        <v>40.174537406276379</v>
      </c>
      <c r="D124" s="123">
        <v>40.667101251388985</v>
      </c>
      <c r="E124" s="123">
        <v>41.286830272200611</v>
      </c>
      <c r="F124" s="123">
        <v>42.948025985129419</v>
      </c>
      <c r="G124" s="123">
        <v>48.38393482481991</v>
      </c>
      <c r="H124" s="124">
        <v>47.901029094317352</v>
      </c>
    </row>
    <row r="125" spans="2:8" s="118" customFormat="1" ht="15.75" x14ac:dyDescent="0.2">
      <c r="B125" s="122" t="s">
        <v>127</v>
      </c>
      <c r="C125" s="123">
        <v>88.50406940373837</v>
      </c>
      <c r="D125" s="123">
        <v>89.589182202742435</v>
      </c>
      <c r="E125" s="123">
        <v>90.954438502143006</v>
      </c>
      <c r="F125" s="123">
        <v>94.614034608588156</v>
      </c>
      <c r="G125" s="123">
        <v>106.58928272047309</v>
      </c>
      <c r="H125" s="124">
        <v>105.52544664301811</v>
      </c>
    </row>
    <row r="126" spans="2:8" s="118" customFormat="1" ht="15.75" x14ac:dyDescent="0.2">
      <c r="B126" s="122" t="s">
        <v>128</v>
      </c>
      <c r="C126" s="123">
        <v>58.458748975074201</v>
      </c>
      <c r="D126" s="123">
        <v>59.17548818440077</v>
      </c>
      <c r="E126" s="123">
        <v>60.077267908553495</v>
      </c>
      <c r="F126" s="123">
        <v>62.494506026282345</v>
      </c>
      <c r="G126" s="123">
        <v>70.404402463850474</v>
      </c>
      <c r="H126" s="124">
        <v>69.701716964510695</v>
      </c>
    </row>
    <row r="127" spans="2:8" x14ac:dyDescent="0.2">
      <c r="B127" s="78"/>
      <c r="C127" s="81"/>
      <c r="D127" s="81"/>
      <c r="E127" s="81"/>
      <c r="F127" s="81"/>
      <c r="G127" s="81"/>
      <c r="H127" s="82"/>
    </row>
    <row r="128" spans="2:8" s="118" customFormat="1" ht="15.75" x14ac:dyDescent="0.2">
      <c r="B128" s="107" t="s">
        <v>129</v>
      </c>
      <c r="C128" s="120">
        <v>81.22</v>
      </c>
      <c r="D128" s="120">
        <v>81.399999999999991</v>
      </c>
      <c r="E128" s="120">
        <v>81.599999999999994</v>
      </c>
      <c r="F128" s="120">
        <v>82.48</v>
      </c>
      <c r="G128" s="120">
        <v>129.01999999999998</v>
      </c>
      <c r="H128" s="121">
        <v>75.27</v>
      </c>
    </row>
    <row r="129" spans="2:8" x14ac:dyDescent="0.2">
      <c r="B129" s="125" t="s">
        <v>130</v>
      </c>
      <c r="C129" s="126">
        <v>0.37</v>
      </c>
      <c r="D129" s="126">
        <v>0.37</v>
      </c>
      <c r="E129" s="126">
        <v>0.37</v>
      </c>
      <c r="F129" s="126">
        <v>0.37</v>
      </c>
      <c r="G129" s="126">
        <v>0.48</v>
      </c>
      <c r="H129" s="127">
        <v>0.41</v>
      </c>
    </row>
    <row r="130" spans="2:8" x14ac:dyDescent="0.2">
      <c r="B130" s="125" t="s">
        <v>131</v>
      </c>
      <c r="C130" s="126">
        <v>0.44</v>
      </c>
      <c r="D130" s="126">
        <v>0.44</v>
      </c>
      <c r="E130" s="126">
        <v>0.44</v>
      </c>
      <c r="F130" s="126">
        <v>0.44</v>
      </c>
      <c r="G130" s="126">
        <v>0.56999999999999995</v>
      </c>
      <c r="H130" s="127">
        <v>0.48</v>
      </c>
    </row>
    <row r="131" spans="2:8" x14ac:dyDescent="0.2">
      <c r="B131" s="125" t="s">
        <v>132</v>
      </c>
      <c r="C131" s="126">
        <v>1.02</v>
      </c>
      <c r="D131" s="126">
        <v>1.02</v>
      </c>
      <c r="E131" s="126">
        <v>1.02</v>
      </c>
      <c r="F131" s="126">
        <v>1.02</v>
      </c>
      <c r="G131" s="126">
        <v>1.33</v>
      </c>
      <c r="H131" s="127">
        <v>1.1200000000000001</v>
      </c>
    </row>
    <row r="132" spans="2:8" x14ac:dyDescent="0.2">
      <c r="B132" s="125" t="s">
        <v>133</v>
      </c>
      <c r="C132" s="126">
        <v>1.1299999999999999</v>
      </c>
      <c r="D132" s="126">
        <v>1.1299999999999999</v>
      </c>
      <c r="E132" s="126">
        <v>1.1299999999999999</v>
      </c>
      <c r="F132" s="126">
        <v>1.1299999999999999</v>
      </c>
      <c r="G132" s="126">
        <v>1.47</v>
      </c>
      <c r="H132" s="127">
        <v>1.24</v>
      </c>
    </row>
    <row r="133" spans="2:8" x14ac:dyDescent="0.2">
      <c r="B133" s="125" t="s">
        <v>134</v>
      </c>
      <c r="C133" s="126">
        <v>1</v>
      </c>
      <c r="D133" s="126">
        <v>1</v>
      </c>
      <c r="E133" s="126">
        <v>1</v>
      </c>
      <c r="F133" s="126">
        <v>1</v>
      </c>
      <c r="G133" s="126">
        <v>1.3</v>
      </c>
      <c r="H133" s="127">
        <v>1.1000000000000001</v>
      </c>
    </row>
    <row r="134" spans="2:8" x14ac:dyDescent="0.2">
      <c r="B134" s="125" t="s">
        <v>135</v>
      </c>
      <c r="C134" s="126">
        <v>0.27</v>
      </c>
      <c r="D134" s="126">
        <v>0.27</v>
      </c>
      <c r="E134" s="126">
        <v>0.27</v>
      </c>
      <c r="F134" s="126">
        <v>0.27</v>
      </c>
      <c r="G134" s="126">
        <v>0.35</v>
      </c>
      <c r="H134" s="127">
        <v>0.3</v>
      </c>
    </row>
    <row r="135" spans="2:8" x14ac:dyDescent="0.2">
      <c r="B135" s="125" t="s">
        <v>136</v>
      </c>
      <c r="C135" s="126">
        <v>0</v>
      </c>
      <c r="D135" s="126">
        <v>0</v>
      </c>
      <c r="E135" s="126">
        <v>0</v>
      </c>
      <c r="F135" s="126">
        <v>0</v>
      </c>
      <c r="G135" s="126">
        <v>0</v>
      </c>
      <c r="H135" s="127">
        <v>0</v>
      </c>
    </row>
    <row r="136" spans="2:8" x14ac:dyDescent="0.2">
      <c r="B136" s="125" t="s">
        <v>137</v>
      </c>
      <c r="C136" s="126">
        <v>0.55000000000000004</v>
      </c>
      <c r="D136" s="126">
        <v>0.55000000000000004</v>
      </c>
      <c r="E136" s="126">
        <v>0.55000000000000004</v>
      </c>
      <c r="F136" s="126">
        <v>0.55000000000000004</v>
      </c>
      <c r="G136" s="126">
        <v>0.72</v>
      </c>
      <c r="H136" s="127">
        <v>0.61</v>
      </c>
    </row>
    <row r="137" spans="2:8" x14ac:dyDescent="0.2">
      <c r="B137" s="125" t="s">
        <v>138</v>
      </c>
      <c r="C137" s="126">
        <v>1</v>
      </c>
      <c r="D137" s="126">
        <v>1</v>
      </c>
      <c r="E137" s="126">
        <v>1</v>
      </c>
      <c r="F137" s="126">
        <v>1</v>
      </c>
      <c r="G137" s="126">
        <v>1.3</v>
      </c>
      <c r="H137" s="127">
        <v>1.1000000000000001</v>
      </c>
    </row>
    <row r="138" spans="2:8" x14ac:dyDescent="0.2">
      <c r="B138" s="125" t="s">
        <v>139</v>
      </c>
      <c r="C138" s="126">
        <v>10.25</v>
      </c>
      <c r="D138" s="126">
        <v>10.25</v>
      </c>
      <c r="E138" s="126">
        <v>10.25</v>
      </c>
      <c r="F138" s="126">
        <v>10.25</v>
      </c>
      <c r="G138" s="126">
        <v>50.75</v>
      </c>
      <c r="H138" s="127">
        <v>5.59</v>
      </c>
    </row>
    <row r="139" spans="2:8" x14ac:dyDescent="0.2">
      <c r="B139" s="125" t="s">
        <v>140</v>
      </c>
      <c r="C139" s="126">
        <v>11</v>
      </c>
      <c r="D139" s="126">
        <v>11</v>
      </c>
      <c r="E139" s="126">
        <v>11</v>
      </c>
      <c r="F139" s="126">
        <v>11</v>
      </c>
      <c r="G139" s="126">
        <v>11</v>
      </c>
      <c r="H139" s="127">
        <v>6.5</v>
      </c>
    </row>
    <row r="140" spans="2:8" x14ac:dyDescent="0.2">
      <c r="B140" s="125" t="s">
        <v>141</v>
      </c>
      <c r="C140" s="126">
        <v>17.899999999999999</v>
      </c>
      <c r="D140" s="126">
        <v>17.899999999999999</v>
      </c>
      <c r="E140" s="126">
        <v>17.899999999999999</v>
      </c>
      <c r="F140" s="126">
        <v>17.899999999999999</v>
      </c>
      <c r="G140" s="126">
        <v>17.899999999999999</v>
      </c>
      <c r="H140" s="127">
        <v>17.899999999999999</v>
      </c>
    </row>
    <row r="141" spans="2:8" x14ac:dyDescent="0.2">
      <c r="B141" s="125" t="s">
        <v>142</v>
      </c>
      <c r="C141" s="126"/>
      <c r="D141" s="126"/>
      <c r="E141" s="126"/>
      <c r="F141" s="126"/>
      <c r="G141" s="126"/>
      <c r="H141" s="127"/>
    </row>
    <row r="142" spans="2:8" x14ac:dyDescent="0.2">
      <c r="B142" s="125" t="s">
        <v>143</v>
      </c>
      <c r="C142" s="126">
        <v>0.1</v>
      </c>
      <c r="D142" s="126">
        <v>0.1</v>
      </c>
      <c r="E142" s="126">
        <v>0.1</v>
      </c>
      <c r="F142" s="126">
        <v>0.4</v>
      </c>
      <c r="G142" s="126">
        <v>0.4</v>
      </c>
      <c r="H142" s="127">
        <v>0.4</v>
      </c>
    </row>
    <row r="143" spans="2:8" x14ac:dyDescent="0.2">
      <c r="B143" s="125" t="s">
        <v>144</v>
      </c>
      <c r="C143" s="126">
        <v>0.5</v>
      </c>
      <c r="D143" s="126">
        <v>0.5</v>
      </c>
      <c r="E143" s="126">
        <v>0.5</v>
      </c>
      <c r="F143" s="126">
        <v>0.5</v>
      </c>
      <c r="G143" s="126">
        <v>0.65</v>
      </c>
      <c r="H143" s="127">
        <v>0.55000000000000004</v>
      </c>
    </row>
    <row r="144" spans="2:8" x14ac:dyDescent="0.2">
      <c r="B144" s="125" t="s">
        <v>145</v>
      </c>
      <c r="C144" s="126">
        <v>4.5</v>
      </c>
      <c r="D144" s="126">
        <v>4.5</v>
      </c>
      <c r="E144" s="126">
        <v>4.5</v>
      </c>
      <c r="F144" s="126">
        <v>4.5</v>
      </c>
      <c r="G144" s="126">
        <v>4.5</v>
      </c>
      <c r="H144" s="127">
        <v>4.5</v>
      </c>
    </row>
    <row r="145" spans="2:141" x14ac:dyDescent="0.2">
      <c r="B145" s="125" t="s">
        <v>146</v>
      </c>
      <c r="C145" s="126">
        <v>7.24</v>
      </c>
      <c r="D145" s="126">
        <v>7.24</v>
      </c>
      <c r="E145" s="126">
        <v>7.24</v>
      </c>
      <c r="F145" s="126">
        <v>7.24</v>
      </c>
      <c r="G145" s="126">
        <v>7.24</v>
      </c>
      <c r="H145" s="127">
        <v>7.24</v>
      </c>
    </row>
    <row r="146" spans="2:141" x14ac:dyDescent="0.2">
      <c r="B146" s="125" t="s">
        <v>147</v>
      </c>
      <c r="C146" s="126">
        <v>0.57999999999999996</v>
      </c>
      <c r="D146" s="126">
        <v>0.57999999999999996</v>
      </c>
      <c r="E146" s="126">
        <v>0.57999999999999996</v>
      </c>
      <c r="F146" s="126">
        <v>0.57999999999999996</v>
      </c>
      <c r="G146" s="126">
        <v>0.75</v>
      </c>
      <c r="H146" s="127">
        <v>0.64</v>
      </c>
    </row>
    <row r="147" spans="2:141" x14ac:dyDescent="0.2">
      <c r="B147" s="125" t="s">
        <v>148</v>
      </c>
      <c r="C147" s="126">
        <v>6.5</v>
      </c>
      <c r="D147" s="126">
        <v>6.5</v>
      </c>
      <c r="E147" s="126">
        <v>6.5</v>
      </c>
      <c r="F147" s="126">
        <v>6.5</v>
      </c>
      <c r="G147" s="126">
        <v>6.5</v>
      </c>
      <c r="H147" s="127">
        <v>6.5</v>
      </c>
    </row>
    <row r="148" spans="2:141" x14ac:dyDescent="0.2">
      <c r="B148" s="125"/>
      <c r="C148" s="126"/>
      <c r="D148" s="126"/>
      <c r="E148" s="126"/>
      <c r="F148" s="126"/>
      <c r="G148" s="126"/>
      <c r="H148" s="127"/>
    </row>
    <row r="149" spans="2:141" x14ac:dyDescent="0.2">
      <c r="B149" s="125" t="s">
        <v>149</v>
      </c>
      <c r="C149" s="126">
        <v>1.1200000000000001</v>
      </c>
      <c r="D149" s="126">
        <v>1.1399999999999999</v>
      </c>
      <c r="E149" s="126">
        <v>1.1499999999999999</v>
      </c>
      <c r="F149" s="126">
        <v>1.2</v>
      </c>
      <c r="G149" s="126">
        <v>1.35</v>
      </c>
      <c r="H149" s="127">
        <v>1.34</v>
      </c>
    </row>
    <row r="150" spans="2:141" x14ac:dyDescent="0.2">
      <c r="B150" s="125" t="s">
        <v>150</v>
      </c>
      <c r="C150" s="126">
        <v>15.75</v>
      </c>
      <c r="D150" s="126">
        <v>15.91</v>
      </c>
      <c r="E150" s="126">
        <v>16.100000000000001</v>
      </c>
      <c r="F150" s="126">
        <v>16.63</v>
      </c>
      <c r="G150" s="126">
        <v>20.46</v>
      </c>
      <c r="H150" s="127">
        <v>17.75</v>
      </c>
    </row>
    <row r="151" spans="2:141" x14ac:dyDescent="0.2">
      <c r="B151" s="125"/>
      <c r="C151" s="128"/>
      <c r="D151" s="128"/>
      <c r="E151" s="128"/>
      <c r="F151" s="128"/>
      <c r="G151" s="128"/>
      <c r="H151" s="129"/>
    </row>
    <row r="152" spans="2:141" ht="15.75" x14ac:dyDescent="0.2">
      <c r="B152" s="107" t="s">
        <v>351</v>
      </c>
      <c r="C152" s="120">
        <v>23.156000000000002</v>
      </c>
      <c r="D152" s="120">
        <v>23.3828</v>
      </c>
      <c r="E152" s="120">
        <v>23.666300000000003</v>
      </c>
      <c r="F152" s="120">
        <v>24.450300000000002</v>
      </c>
      <c r="G152" s="120">
        <v>30.072000000000003</v>
      </c>
      <c r="H152" s="121">
        <v>26.099499999999999</v>
      </c>
    </row>
    <row r="153" spans="2:141" x14ac:dyDescent="0.2">
      <c r="B153" s="125" t="s">
        <v>151</v>
      </c>
      <c r="C153" s="128">
        <v>17.470600000000001</v>
      </c>
      <c r="D153" s="128">
        <v>17.684799999999999</v>
      </c>
      <c r="E153" s="128">
        <v>17.954300000000003</v>
      </c>
      <c r="F153" s="128">
        <v>18.6767</v>
      </c>
      <c r="G153" s="128">
        <v>21.040600000000001</v>
      </c>
      <c r="H153" s="129">
        <v>20.8306</v>
      </c>
    </row>
    <row r="154" spans="2:141" x14ac:dyDescent="0.2">
      <c r="B154" s="125" t="s">
        <v>152</v>
      </c>
      <c r="C154" s="128">
        <v>5.6854000000000005</v>
      </c>
      <c r="D154" s="128">
        <v>5.6979999999999995</v>
      </c>
      <c r="E154" s="128">
        <v>5.7119999999999997</v>
      </c>
      <c r="F154" s="128">
        <v>5.773600000000001</v>
      </c>
      <c r="G154" s="128">
        <v>9.0313999999999997</v>
      </c>
      <c r="H154" s="129">
        <v>5.2689000000000004</v>
      </c>
    </row>
    <row r="155" spans="2:141" hidden="1" x14ac:dyDescent="0.2">
      <c r="B155" s="125"/>
      <c r="C155" s="128"/>
      <c r="D155" s="128"/>
      <c r="E155" s="128"/>
      <c r="F155" s="128"/>
      <c r="G155" s="128"/>
      <c r="H155" s="129"/>
    </row>
    <row r="156" spans="2:141" x14ac:dyDescent="0.2">
      <c r="B156" s="125"/>
      <c r="C156" s="128"/>
      <c r="D156" s="128"/>
      <c r="E156" s="128"/>
      <c r="F156" s="128"/>
      <c r="G156" s="128"/>
      <c r="H156" s="129"/>
    </row>
    <row r="157" spans="2:141" s="130" customFormat="1" ht="15.75" x14ac:dyDescent="0.2">
      <c r="B157" s="131" t="s">
        <v>153</v>
      </c>
      <c r="C157" s="132">
        <v>353.95600000000002</v>
      </c>
      <c r="D157" s="132">
        <v>357.42279999999994</v>
      </c>
      <c r="E157" s="132">
        <v>361.75630000000001</v>
      </c>
      <c r="F157" s="132">
        <v>373.74030000000005</v>
      </c>
      <c r="G157" s="132">
        <v>459.67199999999997</v>
      </c>
      <c r="H157" s="133">
        <v>398.94949999999994</v>
      </c>
      <c r="I157" s="276"/>
      <c r="J157" s="276"/>
      <c r="K157" s="276"/>
      <c r="M157" s="277"/>
      <c r="N157" s="276"/>
      <c r="O157" s="276"/>
      <c r="P157" s="276"/>
      <c r="Q157" s="276"/>
      <c r="R157" s="276"/>
      <c r="S157" s="276"/>
      <c r="T157" s="276"/>
      <c r="V157" s="277"/>
      <c r="W157" s="276"/>
      <c r="X157" s="276"/>
      <c r="Y157" s="276"/>
      <c r="Z157" s="276"/>
      <c r="AA157" s="276"/>
      <c r="AB157" s="276"/>
      <c r="AC157" s="276"/>
      <c r="AE157" s="277"/>
      <c r="AF157" s="276"/>
      <c r="AG157" s="276"/>
      <c r="AH157" s="276"/>
      <c r="AI157" s="276"/>
      <c r="AJ157" s="276"/>
      <c r="AK157" s="276"/>
      <c r="AL157" s="276"/>
      <c r="AN157" s="277"/>
      <c r="AO157" s="276"/>
      <c r="AP157" s="276"/>
      <c r="AQ157" s="276"/>
      <c r="AR157" s="276"/>
      <c r="AS157" s="276"/>
      <c r="AT157" s="276"/>
      <c r="AU157" s="276"/>
      <c r="AW157" s="277"/>
      <c r="AX157" s="276"/>
      <c r="AY157" s="276"/>
      <c r="AZ157" s="276"/>
      <c r="BA157" s="276"/>
      <c r="BB157" s="276"/>
      <c r="BC157" s="276"/>
      <c r="BD157" s="276"/>
      <c r="BF157" s="277"/>
      <c r="BG157" s="276"/>
      <c r="BH157" s="276"/>
      <c r="BI157" s="276"/>
      <c r="BJ157" s="276"/>
      <c r="BK157" s="276"/>
      <c r="BL157" s="276"/>
      <c r="BM157" s="276"/>
      <c r="BO157" s="277"/>
      <c r="BP157" s="276"/>
      <c r="BQ157" s="276"/>
      <c r="BR157" s="276"/>
      <c r="BS157" s="276"/>
      <c r="BT157" s="276"/>
      <c r="BU157" s="276"/>
      <c r="BV157" s="276"/>
      <c r="BX157" s="277"/>
      <c r="BY157" s="276"/>
      <c r="BZ157" s="276"/>
      <c r="CA157" s="276"/>
      <c r="CB157" s="276"/>
      <c r="CC157" s="276"/>
      <c r="CD157" s="276"/>
      <c r="CE157" s="276"/>
      <c r="CG157" s="277"/>
      <c r="CH157" s="276"/>
      <c r="CI157" s="276"/>
      <c r="CJ157" s="276"/>
      <c r="CK157" s="276"/>
      <c r="CL157" s="276"/>
      <c r="CM157" s="276"/>
      <c r="CN157" s="276"/>
      <c r="CP157" s="277"/>
      <c r="CQ157" s="276"/>
      <c r="CR157" s="276"/>
      <c r="CS157" s="276"/>
      <c r="CT157" s="276"/>
      <c r="CU157" s="276"/>
      <c r="CV157" s="276"/>
      <c r="CW157" s="276"/>
      <c r="CY157" s="277"/>
      <c r="CZ157" s="276"/>
      <c r="DA157" s="276"/>
      <c r="DB157" s="276"/>
      <c r="DC157" s="276"/>
      <c r="DD157" s="276"/>
      <c r="DE157" s="276"/>
      <c r="DF157" s="276"/>
      <c r="DH157" s="277"/>
      <c r="DI157" s="276"/>
      <c r="DJ157" s="276"/>
      <c r="DK157" s="276"/>
      <c r="DL157" s="276"/>
      <c r="DM157" s="276"/>
      <c r="DN157" s="276"/>
      <c r="DO157" s="276"/>
      <c r="DQ157" s="277"/>
      <c r="DR157" s="276"/>
      <c r="DS157" s="276"/>
      <c r="DT157" s="276"/>
      <c r="DU157" s="276"/>
      <c r="DV157" s="276"/>
      <c r="DW157" s="276"/>
      <c r="DX157" s="276"/>
      <c r="DZ157" s="277"/>
      <c r="EA157" s="276"/>
      <c r="EB157" s="276"/>
      <c r="EC157" s="276"/>
      <c r="ED157" s="276"/>
      <c r="EE157" s="276"/>
      <c r="EF157" s="276"/>
      <c r="EG157" s="276"/>
      <c r="EI157" s="277"/>
      <c r="EJ157" s="276"/>
      <c r="EK157" s="276"/>
    </row>
    <row r="158" spans="2:141" x14ac:dyDescent="0.2">
      <c r="B158" s="85"/>
      <c r="C158" s="134"/>
      <c r="D158" s="134"/>
      <c r="E158" s="134"/>
      <c r="F158" s="134"/>
      <c r="G158" s="134"/>
      <c r="H158" s="135"/>
    </row>
    <row r="159" spans="2:141" ht="15.75" x14ac:dyDescent="0.2">
      <c r="B159" s="131" t="s">
        <v>154</v>
      </c>
      <c r="C159" s="132">
        <v>730</v>
      </c>
      <c r="D159" s="132">
        <v>730</v>
      </c>
      <c r="E159" s="132">
        <v>740</v>
      </c>
      <c r="F159" s="132">
        <v>770</v>
      </c>
      <c r="G159" s="132">
        <v>860</v>
      </c>
      <c r="H159" s="133">
        <v>850</v>
      </c>
    </row>
    <row r="160" spans="2:141" s="130" customFormat="1" ht="15.75" x14ac:dyDescent="0.2">
      <c r="B160" s="131" t="s">
        <v>155</v>
      </c>
      <c r="C160" s="132">
        <v>1030</v>
      </c>
      <c r="D160" s="132">
        <v>1030</v>
      </c>
      <c r="E160" s="132">
        <v>1040</v>
      </c>
      <c r="F160" s="132">
        <v>1080</v>
      </c>
      <c r="G160" s="132">
        <v>1320</v>
      </c>
      <c r="H160" s="133">
        <v>1140</v>
      </c>
      <c r="I160" s="276"/>
      <c r="J160" s="276"/>
      <c r="K160" s="276"/>
      <c r="M160" s="277"/>
      <c r="N160" s="276"/>
      <c r="O160" s="276"/>
      <c r="P160" s="276"/>
      <c r="Q160" s="276"/>
      <c r="R160" s="276"/>
      <c r="S160" s="276"/>
      <c r="T160" s="276"/>
      <c r="V160" s="277"/>
      <c r="W160" s="276"/>
      <c r="X160" s="276"/>
      <c r="Y160" s="276"/>
      <c r="Z160" s="276"/>
      <c r="AA160" s="276"/>
      <c r="AB160" s="276"/>
      <c r="AC160" s="276"/>
      <c r="AE160" s="277"/>
      <c r="AF160" s="276"/>
      <c r="AG160" s="276"/>
      <c r="AH160" s="276"/>
      <c r="AI160" s="276"/>
      <c r="AJ160" s="276"/>
      <c r="AK160" s="276"/>
      <c r="AL160" s="276"/>
      <c r="AN160" s="277"/>
      <c r="AO160" s="276"/>
      <c r="AP160" s="276"/>
      <c r="AQ160" s="276"/>
      <c r="AR160" s="276"/>
      <c r="AS160" s="276"/>
      <c r="AT160" s="276"/>
      <c r="AU160" s="276"/>
      <c r="AW160" s="277"/>
      <c r="AX160" s="276"/>
      <c r="AY160" s="276"/>
      <c r="AZ160" s="276"/>
      <c r="BA160" s="276"/>
      <c r="BB160" s="276"/>
      <c r="BC160" s="276"/>
      <c r="BD160" s="276"/>
      <c r="BF160" s="277"/>
      <c r="BG160" s="276"/>
      <c r="BH160" s="276"/>
      <c r="BI160" s="276"/>
      <c r="BJ160" s="276"/>
      <c r="BK160" s="276"/>
      <c r="BL160" s="276"/>
      <c r="BM160" s="276"/>
      <c r="BO160" s="277"/>
      <c r="BP160" s="276"/>
      <c r="BQ160" s="276"/>
      <c r="BR160" s="276"/>
      <c r="BS160" s="276"/>
      <c r="BT160" s="276"/>
      <c r="BU160" s="276"/>
      <c r="BV160" s="276"/>
      <c r="BX160" s="277"/>
      <c r="BY160" s="276"/>
      <c r="BZ160" s="276"/>
      <c r="CA160" s="276"/>
      <c r="CB160" s="276"/>
      <c r="CC160" s="276"/>
      <c r="CD160" s="276"/>
      <c r="CE160" s="276"/>
      <c r="CG160" s="277"/>
      <c r="CH160" s="276"/>
      <c r="CI160" s="276"/>
      <c r="CJ160" s="276"/>
      <c r="CK160" s="276"/>
      <c r="CL160" s="276"/>
      <c r="CM160" s="276"/>
      <c r="CN160" s="276"/>
      <c r="CP160" s="277"/>
      <c r="CQ160" s="276"/>
      <c r="CR160" s="276"/>
      <c r="CS160" s="276"/>
      <c r="CT160" s="276"/>
      <c r="CU160" s="276"/>
      <c r="CV160" s="276"/>
      <c r="CW160" s="276"/>
      <c r="CY160" s="277"/>
      <c r="CZ160" s="276"/>
      <c r="DA160" s="276"/>
      <c r="DB160" s="276"/>
      <c r="DC160" s="276"/>
      <c r="DD160" s="276"/>
      <c r="DE160" s="276"/>
      <c r="DF160" s="276"/>
      <c r="DH160" s="277"/>
      <c r="DI160" s="276"/>
      <c r="DJ160" s="276"/>
      <c r="DK160" s="276"/>
      <c r="DL160" s="276"/>
      <c r="DM160" s="276"/>
      <c r="DN160" s="276"/>
      <c r="DO160" s="276"/>
      <c r="DQ160" s="277"/>
      <c r="DR160" s="276"/>
      <c r="DS160" s="276"/>
      <c r="DT160" s="276"/>
      <c r="DU160" s="276"/>
      <c r="DV160" s="276"/>
      <c r="DW160" s="276"/>
      <c r="DX160" s="276"/>
      <c r="DZ160" s="277"/>
      <c r="EA160" s="276"/>
      <c r="EB160" s="276"/>
      <c r="EC160" s="276"/>
      <c r="ED160" s="276"/>
      <c r="EE160" s="276"/>
      <c r="EF160" s="276"/>
      <c r="EG160" s="276"/>
      <c r="EI160" s="277"/>
      <c r="EJ160" s="276"/>
      <c r="EK160" s="276"/>
    </row>
    <row r="161" spans="2:141" x14ac:dyDescent="0.2">
      <c r="B161" s="85"/>
      <c r="C161" s="126"/>
      <c r="D161" s="126"/>
      <c r="E161" s="126"/>
      <c r="F161" s="126"/>
      <c r="G161" s="136"/>
      <c r="H161" s="137"/>
      <c r="I161" s="278"/>
      <c r="J161" s="278"/>
      <c r="K161" s="278"/>
      <c r="M161" s="279"/>
      <c r="N161" s="278"/>
      <c r="O161" s="278"/>
      <c r="P161" s="278"/>
      <c r="Q161" s="278"/>
      <c r="R161" s="278"/>
      <c r="S161" s="278"/>
      <c r="T161" s="278"/>
      <c r="V161" s="279"/>
      <c r="W161" s="278"/>
      <c r="X161" s="278"/>
      <c r="Y161" s="278"/>
      <c r="Z161" s="278"/>
      <c r="AA161" s="278"/>
      <c r="AB161" s="278"/>
      <c r="AC161" s="278"/>
      <c r="AE161" s="279"/>
      <c r="AF161" s="278"/>
      <c r="AG161" s="278"/>
      <c r="AH161" s="278"/>
      <c r="AI161" s="278"/>
      <c r="AJ161" s="278"/>
      <c r="AK161" s="278"/>
      <c r="AL161" s="278"/>
      <c r="AN161" s="279"/>
      <c r="AO161" s="278"/>
      <c r="AP161" s="278"/>
      <c r="AQ161" s="278"/>
      <c r="AR161" s="278"/>
      <c r="AS161" s="278"/>
      <c r="AT161" s="278"/>
      <c r="AU161" s="278"/>
      <c r="AW161" s="279"/>
      <c r="AX161" s="278"/>
      <c r="AY161" s="278"/>
      <c r="AZ161" s="278"/>
      <c r="BA161" s="278"/>
      <c r="BB161" s="278"/>
      <c r="BC161" s="278"/>
      <c r="BD161" s="278"/>
      <c r="BF161" s="279"/>
      <c r="BG161" s="278"/>
      <c r="BH161" s="278"/>
      <c r="BI161" s="278"/>
      <c r="BJ161" s="278"/>
      <c r="BK161" s="278"/>
      <c r="BL161" s="278"/>
      <c r="BM161" s="278"/>
      <c r="BO161" s="279"/>
      <c r="BP161" s="278"/>
      <c r="BQ161" s="278"/>
      <c r="BR161" s="278"/>
      <c r="BS161" s="278"/>
      <c r="BT161" s="278"/>
      <c r="BU161" s="278"/>
      <c r="BV161" s="278"/>
      <c r="BX161" s="279"/>
      <c r="BY161" s="278"/>
      <c r="BZ161" s="278"/>
      <c r="CA161" s="278"/>
      <c r="CB161" s="278"/>
      <c r="CC161" s="278"/>
      <c r="CD161" s="278"/>
      <c r="CE161" s="278"/>
      <c r="CG161" s="279"/>
      <c r="CH161" s="278"/>
      <c r="CI161" s="278"/>
      <c r="CJ161" s="278"/>
      <c r="CK161" s="278"/>
      <c r="CL161" s="278"/>
      <c r="CM161" s="278"/>
      <c r="CN161" s="278"/>
      <c r="CP161" s="279"/>
      <c r="CQ161" s="278"/>
      <c r="CR161" s="278"/>
      <c r="CS161" s="278"/>
      <c r="CT161" s="278"/>
      <c r="CU161" s="278"/>
      <c r="CV161" s="278"/>
      <c r="CW161" s="278"/>
      <c r="CY161" s="279"/>
      <c r="CZ161" s="278"/>
      <c r="DA161" s="278"/>
      <c r="DB161" s="278"/>
      <c r="DC161" s="278"/>
      <c r="DD161" s="278"/>
      <c r="DE161" s="278"/>
      <c r="DF161" s="278"/>
      <c r="DH161" s="279"/>
      <c r="DI161" s="278"/>
      <c r="DJ161" s="278"/>
      <c r="DK161" s="278"/>
      <c r="DL161" s="278"/>
      <c r="DM161" s="278"/>
      <c r="DN161" s="278"/>
      <c r="DO161" s="278"/>
      <c r="DQ161" s="279"/>
      <c r="DR161" s="278"/>
      <c r="DS161" s="278"/>
      <c r="DT161" s="278"/>
      <c r="DU161" s="278"/>
      <c r="DV161" s="278"/>
      <c r="DW161" s="278"/>
      <c r="DX161" s="278"/>
      <c r="DZ161" s="279"/>
      <c r="EA161" s="278"/>
      <c r="EB161" s="278"/>
      <c r="EC161" s="278"/>
      <c r="ED161" s="278"/>
      <c r="EE161" s="278"/>
      <c r="EF161" s="278"/>
      <c r="EG161" s="278"/>
      <c r="EI161" s="279"/>
      <c r="EJ161" s="278"/>
      <c r="EK161" s="278"/>
    </row>
    <row r="162" spans="2:141" ht="15" hidden="1" customHeight="1" x14ac:dyDescent="0.2">
      <c r="B162" s="85"/>
      <c r="C162" s="126"/>
      <c r="D162" s="126"/>
      <c r="E162" s="126"/>
      <c r="F162" s="126"/>
      <c r="G162" s="136"/>
      <c r="H162" s="137"/>
      <c r="I162" s="278"/>
      <c r="J162" s="278"/>
      <c r="K162" s="278"/>
      <c r="M162" s="279"/>
      <c r="N162" s="278"/>
      <c r="O162" s="278"/>
      <c r="P162" s="278"/>
      <c r="Q162" s="278"/>
      <c r="R162" s="278"/>
      <c r="S162" s="278"/>
      <c r="T162" s="278"/>
      <c r="V162" s="279"/>
      <c r="W162" s="278"/>
      <c r="X162" s="278"/>
      <c r="Y162" s="278"/>
      <c r="Z162" s="278"/>
      <c r="AA162" s="278"/>
      <c r="AB162" s="278"/>
      <c r="AC162" s="278"/>
      <c r="AE162" s="279"/>
      <c r="AF162" s="278"/>
      <c r="AG162" s="278"/>
      <c r="AH162" s="278"/>
      <c r="AI162" s="278"/>
      <c r="AJ162" s="278"/>
      <c r="AK162" s="278"/>
      <c r="AL162" s="278"/>
      <c r="AN162" s="279"/>
      <c r="AO162" s="278"/>
      <c r="AP162" s="278"/>
      <c r="AQ162" s="278"/>
      <c r="AR162" s="278"/>
      <c r="AS162" s="278"/>
      <c r="AT162" s="278"/>
      <c r="AU162" s="278"/>
      <c r="AW162" s="279"/>
      <c r="AX162" s="278"/>
      <c r="AY162" s="278"/>
      <c r="AZ162" s="278"/>
      <c r="BA162" s="278"/>
      <c r="BB162" s="278"/>
      <c r="BC162" s="278"/>
      <c r="BD162" s="278"/>
      <c r="BF162" s="279"/>
      <c r="BG162" s="278"/>
      <c r="BH162" s="278"/>
      <c r="BI162" s="278"/>
      <c r="BJ162" s="278"/>
      <c r="BK162" s="278"/>
      <c r="BL162" s="278"/>
      <c r="BM162" s="278"/>
      <c r="BO162" s="279"/>
      <c r="BP162" s="278"/>
      <c r="BQ162" s="278"/>
      <c r="BR162" s="278"/>
      <c r="BS162" s="278"/>
      <c r="BT162" s="278"/>
      <c r="BU162" s="278"/>
      <c r="BV162" s="278"/>
      <c r="BX162" s="279"/>
      <c r="BY162" s="278"/>
      <c r="BZ162" s="278"/>
      <c r="CA162" s="278"/>
      <c r="CB162" s="278"/>
      <c r="CC162" s="278"/>
      <c r="CD162" s="278"/>
      <c r="CE162" s="278"/>
      <c r="CG162" s="279"/>
      <c r="CH162" s="278"/>
      <c r="CI162" s="278"/>
      <c r="CJ162" s="278"/>
      <c r="CK162" s="278"/>
      <c r="CL162" s="278"/>
      <c r="CM162" s="278"/>
      <c r="CN162" s="278"/>
      <c r="CP162" s="279"/>
      <c r="CQ162" s="278"/>
      <c r="CR162" s="278"/>
      <c r="CS162" s="278"/>
      <c r="CT162" s="278"/>
      <c r="CU162" s="278"/>
      <c r="CV162" s="278"/>
      <c r="CW162" s="278"/>
      <c r="CY162" s="279"/>
      <c r="CZ162" s="278"/>
      <c r="DA162" s="278"/>
      <c r="DB162" s="278"/>
      <c r="DC162" s="278"/>
      <c r="DD162" s="278"/>
      <c r="DE162" s="278"/>
      <c r="DF162" s="278"/>
      <c r="DH162" s="279"/>
      <c r="DI162" s="278"/>
      <c r="DJ162" s="278"/>
      <c r="DK162" s="278"/>
      <c r="DL162" s="278"/>
      <c r="DM162" s="278"/>
      <c r="DN162" s="278"/>
      <c r="DO162" s="278"/>
      <c r="DQ162" s="279"/>
      <c r="DR162" s="278"/>
      <c r="DS162" s="278"/>
      <c r="DT162" s="278"/>
      <c r="DU162" s="278"/>
      <c r="DV162" s="278"/>
      <c r="DW162" s="278"/>
      <c r="DX162" s="278"/>
      <c r="DZ162" s="279"/>
      <c r="EA162" s="278"/>
      <c r="EB162" s="278"/>
      <c r="EC162" s="278"/>
      <c r="ED162" s="278"/>
      <c r="EE162" s="278"/>
      <c r="EF162" s="278"/>
      <c r="EG162" s="278"/>
      <c r="EI162" s="279"/>
      <c r="EJ162" s="278"/>
      <c r="EK162" s="278"/>
    </row>
    <row r="163" spans="2:141" ht="15" hidden="1" customHeight="1" x14ac:dyDescent="0.2">
      <c r="B163" s="85"/>
      <c r="C163" s="126"/>
      <c r="D163" s="126"/>
      <c r="E163" s="126"/>
      <c r="F163" s="126"/>
      <c r="G163" s="136"/>
      <c r="H163" s="137"/>
      <c r="I163" s="278"/>
      <c r="J163" s="278"/>
      <c r="K163" s="278"/>
      <c r="M163" s="279"/>
      <c r="N163" s="278"/>
      <c r="O163" s="278"/>
      <c r="P163" s="278"/>
      <c r="Q163" s="278"/>
      <c r="R163" s="278"/>
      <c r="S163" s="278"/>
      <c r="T163" s="278"/>
      <c r="V163" s="279"/>
      <c r="W163" s="278"/>
      <c r="X163" s="278"/>
      <c r="Y163" s="278"/>
      <c r="Z163" s="278"/>
      <c r="AA163" s="278"/>
      <c r="AB163" s="278"/>
      <c r="AC163" s="278"/>
      <c r="AE163" s="279"/>
      <c r="AF163" s="278"/>
      <c r="AG163" s="278"/>
      <c r="AH163" s="278"/>
      <c r="AI163" s="278"/>
      <c r="AJ163" s="278"/>
      <c r="AK163" s="278"/>
      <c r="AL163" s="278"/>
      <c r="AN163" s="279"/>
      <c r="AO163" s="278"/>
      <c r="AP163" s="278"/>
      <c r="AQ163" s="278"/>
      <c r="AR163" s="278"/>
      <c r="AS163" s="278"/>
      <c r="AT163" s="278"/>
      <c r="AU163" s="278"/>
      <c r="AW163" s="279"/>
      <c r="AX163" s="278"/>
      <c r="AY163" s="278"/>
      <c r="AZ163" s="278"/>
      <c r="BA163" s="278"/>
      <c r="BB163" s="278"/>
      <c r="BC163" s="278"/>
      <c r="BD163" s="278"/>
      <c r="BF163" s="279"/>
      <c r="BG163" s="278"/>
      <c r="BH163" s="278"/>
      <c r="BI163" s="278"/>
      <c r="BJ163" s="278"/>
      <c r="BK163" s="278"/>
      <c r="BL163" s="278"/>
      <c r="BM163" s="278"/>
      <c r="BO163" s="279"/>
      <c r="BP163" s="278"/>
      <c r="BQ163" s="278"/>
      <c r="BR163" s="278"/>
      <c r="BS163" s="278"/>
      <c r="BT163" s="278"/>
      <c r="BU163" s="278"/>
      <c r="BV163" s="278"/>
      <c r="BX163" s="279"/>
      <c r="BY163" s="278"/>
      <c r="BZ163" s="278"/>
      <c r="CA163" s="278"/>
      <c r="CB163" s="278"/>
      <c r="CC163" s="278"/>
      <c r="CD163" s="278"/>
      <c r="CE163" s="278"/>
      <c r="CG163" s="279"/>
      <c r="CH163" s="278"/>
      <c r="CI163" s="278"/>
      <c r="CJ163" s="278"/>
      <c r="CK163" s="278"/>
      <c r="CL163" s="278"/>
      <c r="CM163" s="278"/>
      <c r="CN163" s="278"/>
      <c r="CP163" s="279"/>
      <c r="CQ163" s="278"/>
      <c r="CR163" s="278"/>
      <c r="CS163" s="278"/>
      <c r="CT163" s="278"/>
      <c r="CU163" s="278"/>
      <c r="CV163" s="278"/>
      <c r="CW163" s="278"/>
      <c r="CY163" s="279"/>
      <c r="CZ163" s="278"/>
      <c r="DA163" s="278"/>
      <c r="DB163" s="278"/>
      <c r="DC163" s="278"/>
      <c r="DD163" s="278"/>
      <c r="DE163" s="278"/>
      <c r="DF163" s="278"/>
      <c r="DH163" s="279"/>
      <c r="DI163" s="278"/>
      <c r="DJ163" s="278"/>
      <c r="DK163" s="278"/>
      <c r="DL163" s="278"/>
      <c r="DM163" s="278"/>
      <c r="DN163" s="278"/>
      <c r="DO163" s="278"/>
      <c r="DQ163" s="279"/>
      <c r="DR163" s="278"/>
      <c r="DS163" s="278"/>
      <c r="DT163" s="278"/>
      <c r="DU163" s="278"/>
      <c r="DV163" s="278"/>
      <c r="DW163" s="278"/>
      <c r="DX163" s="278"/>
      <c r="DZ163" s="279"/>
      <c r="EA163" s="278"/>
      <c r="EB163" s="278"/>
      <c r="EC163" s="278"/>
      <c r="ED163" s="278"/>
      <c r="EE163" s="278"/>
      <c r="EF163" s="278"/>
      <c r="EG163" s="278"/>
      <c r="EI163" s="279"/>
      <c r="EJ163" s="278"/>
      <c r="EK163" s="278"/>
    </row>
    <row r="164" spans="2:141" ht="15" hidden="1" customHeight="1" x14ac:dyDescent="0.2">
      <c r="B164" s="85"/>
      <c r="C164" s="126"/>
      <c r="D164" s="126"/>
      <c r="E164" s="126"/>
      <c r="F164" s="126"/>
      <c r="G164" s="136"/>
      <c r="H164" s="137"/>
      <c r="I164" s="278"/>
      <c r="J164" s="278"/>
      <c r="K164" s="278"/>
      <c r="M164" s="279"/>
      <c r="N164" s="278"/>
      <c r="O164" s="278"/>
      <c r="P164" s="278"/>
      <c r="Q164" s="278"/>
      <c r="R164" s="278"/>
      <c r="S164" s="278"/>
      <c r="T164" s="278"/>
      <c r="V164" s="279"/>
      <c r="W164" s="278"/>
      <c r="X164" s="278"/>
      <c r="Y164" s="278"/>
      <c r="Z164" s="278"/>
      <c r="AA164" s="278"/>
      <c r="AB164" s="278"/>
      <c r="AC164" s="278"/>
      <c r="AE164" s="279"/>
      <c r="AF164" s="278"/>
      <c r="AG164" s="278"/>
      <c r="AH164" s="278"/>
      <c r="AI164" s="278"/>
      <c r="AJ164" s="278"/>
      <c r="AK164" s="278"/>
      <c r="AL164" s="278"/>
      <c r="AN164" s="279"/>
      <c r="AO164" s="278"/>
      <c r="AP164" s="278"/>
      <c r="AQ164" s="278"/>
      <c r="AR164" s="278"/>
      <c r="AS164" s="278"/>
      <c r="AT164" s="278"/>
      <c r="AU164" s="278"/>
      <c r="AW164" s="279"/>
      <c r="AX164" s="278"/>
      <c r="AY164" s="278"/>
      <c r="AZ164" s="278"/>
      <c r="BA164" s="278"/>
      <c r="BB164" s="278"/>
      <c r="BC164" s="278"/>
      <c r="BD164" s="278"/>
      <c r="BF164" s="279"/>
      <c r="BG164" s="278"/>
      <c r="BH164" s="278"/>
      <c r="BI164" s="278"/>
      <c r="BJ164" s="278"/>
      <c r="BK164" s="278"/>
      <c r="BL164" s="278"/>
      <c r="BM164" s="278"/>
      <c r="BO164" s="279"/>
      <c r="BP164" s="278"/>
      <c r="BQ164" s="278"/>
      <c r="BR164" s="278"/>
      <c r="BS164" s="278"/>
      <c r="BT164" s="278"/>
      <c r="BU164" s="278"/>
      <c r="BV164" s="278"/>
      <c r="BX164" s="279"/>
      <c r="BY164" s="278"/>
      <c r="BZ164" s="278"/>
      <c r="CA164" s="278"/>
      <c r="CB164" s="278"/>
      <c r="CC164" s="278"/>
      <c r="CD164" s="278"/>
      <c r="CE164" s="278"/>
      <c r="CG164" s="279"/>
      <c r="CH164" s="278"/>
      <c r="CI164" s="278"/>
      <c r="CJ164" s="278"/>
      <c r="CK164" s="278"/>
      <c r="CL164" s="278"/>
      <c r="CM164" s="278"/>
      <c r="CN164" s="278"/>
      <c r="CP164" s="279"/>
      <c r="CQ164" s="278"/>
      <c r="CR164" s="278"/>
      <c r="CS164" s="278"/>
      <c r="CT164" s="278"/>
      <c r="CU164" s="278"/>
      <c r="CV164" s="278"/>
      <c r="CW164" s="278"/>
      <c r="CY164" s="279"/>
      <c r="CZ164" s="278"/>
      <c r="DA164" s="278"/>
      <c r="DB164" s="278"/>
      <c r="DC164" s="278"/>
      <c r="DD164" s="278"/>
      <c r="DE164" s="278"/>
      <c r="DF164" s="278"/>
      <c r="DH164" s="279"/>
      <c r="DI164" s="278"/>
      <c r="DJ164" s="278"/>
      <c r="DK164" s="278"/>
      <c r="DL164" s="278"/>
      <c r="DM164" s="278"/>
      <c r="DN164" s="278"/>
      <c r="DO164" s="278"/>
      <c r="DQ164" s="279"/>
      <c r="DR164" s="278"/>
      <c r="DS164" s="278"/>
      <c r="DT164" s="278"/>
      <c r="DU164" s="278"/>
      <c r="DV164" s="278"/>
      <c r="DW164" s="278"/>
      <c r="DX164" s="278"/>
      <c r="DZ164" s="279"/>
      <c r="EA164" s="278"/>
      <c r="EB164" s="278"/>
      <c r="EC164" s="278"/>
      <c r="ED164" s="278"/>
      <c r="EE164" s="278"/>
      <c r="EF164" s="278"/>
      <c r="EG164" s="278"/>
      <c r="EI164" s="279"/>
      <c r="EJ164" s="278"/>
      <c r="EK164" s="278"/>
    </row>
    <row r="165" spans="2:141" ht="15.75" x14ac:dyDescent="0.2">
      <c r="B165" s="107" t="s">
        <v>156</v>
      </c>
      <c r="C165" s="126"/>
      <c r="D165" s="126"/>
      <c r="E165" s="126"/>
      <c r="F165" s="126"/>
      <c r="G165" s="136"/>
      <c r="H165" s="137"/>
      <c r="I165" s="278"/>
      <c r="J165" s="278"/>
      <c r="K165" s="278"/>
      <c r="M165" s="279"/>
      <c r="N165" s="278"/>
      <c r="O165" s="278"/>
      <c r="P165" s="278"/>
      <c r="Q165" s="278"/>
      <c r="R165" s="278"/>
      <c r="S165" s="278"/>
      <c r="T165" s="278"/>
      <c r="V165" s="279"/>
      <c r="W165" s="278"/>
      <c r="X165" s="278"/>
      <c r="Y165" s="278"/>
      <c r="Z165" s="278"/>
      <c r="AA165" s="278"/>
      <c r="AB165" s="278"/>
      <c r="AC165" s="278"/>
      <c r="AE165" s="279"/>
      <c r="AF165" s="278"/>
      <c r="AG165" s="278"/>
      <c r="AH165" s="278"/>
      <c r="AI165" s="278"/>
      <c r="AJ165" s="278"/>
      <c r="AK165" s="278"/>
      <c r="AL165" s="278"/>
      <c r="AN165" s="279"/>
      <c r="AO165" s="278"/>
      <c r="AP165" s="278"/>
      <c r="AQ165" s="278"/>
      <c r="AR165" s="278"/>
      <c r="AS165" s="278"/>
      <c r="AT165" s="278"/>
      <c r="AU165" s="278"/>
      <c r="AW165" s="279"/>
      <c r="AX165" s="278"/>
      <c r="AY165" s="278"/>
      <c r="AZ165" s="278"/>
      <c r="BA165" s="278"/>
      <c r="BB165" s="278"/>
      <c r="BC165" s="278"/>
      <c r="BD165" s="278"/>
      <c r="BF165" s="279"/>
      <c r="BG165" s="278"/>
      <c r="BH165" s="278"/>
      <c r="BI165" s="278"/>
      <c r="BJ165" s="278"/>
      <c r="BK165" s="278"/>
      <c r="BL165" s="278"/>
      <c r="BM165" s="278"/>
      <c r="BO165" s="279"/>
      <c r="BP165" s="278"/>
      <c r="BQ165" s="278"/>
      <c r="BR165" s="278"/>
      <c r="BS165" s="278"/>
      <c r="BT165" s="278"/>
      <c r="BU165" s="278"/>
      <c r="BV165" s="278"/>
      <c r="BX165" s="279"/>
      <c r="BY165" s="278"/>
      <c r="BZ165" s="278"/>
      <c r="CA165" s="278"/>
      <c r="CB165" s="278"/>
      <c r="CC165" s="278"/>
      <c r="CD165" s="278"/>
      <c r="CE165" s="278"/>
      <c r="CG165" s="279"/>
      <c r="CH165" s="278"/>
      <c r="CI165" s="278"/>
      <c r="CJ165" s="278"/>
      <c r="CK165" s="278"/>
      <c r="CL165" s="278"/>
      <c r="CM165" s="278"/>
      <c r="CN165" s="278"/>
      <c r="CP165" s="279"/>
      <c r="CQ165" s="278"/>
      <c r="CR165" s="278"/>
      <c r="CS165" s="278"/>
      <c r="CT165" s="278"/>
      <c r="CU165" s="278"/>
      <c r="CV165" s="278"/>
      <c r="CW165" s="278"/>
      <c r="CY165" s="279"/>
      <c r="CZ165" s="278"/>
      <c r="DA165" s="278"/>
      <c r="DB165" s="278"/>
      <c r="DC165" s="278"/>
      <c r="DD165" s="278"/>
      <c r="DE165" s="278"/>
      <c r="DF165" s="278"/>
      <c r="DH165" s="279"/>
      <c r="DI165" s="278"/>
      <c r="DJ165" s="278"/>
      <c r="DK165" s="278"/>
      <c r="DL165" s="278"/>
      <c r="DM165" s="278"/>
      <c r="DN165" s="278"/>
      <c r="DO165" s="278"/>
      <c r="DQ165" s="279"/>
      <c r="DR165" s="278"/>
      <c r="DS165" s="278"/>
      <c r="DT165" s="278"/>
      <c r="DU165" s="278"/>
      <c r="DV165" s="278"/>
      <c r="DW165" s="278"/>
      <c r="DX165" s="278"/>
      <c r="DZ165" s="279"/>
      <c r="EA165" s="278"/>
      <c r="EB165" s="278"/>
      <c r="EC165" s="278"/>
      <c r="ED165" s="278"/>
      <c r="EE165" s="278"/>
      <c r="EF165" s="278"/>
      <c r="EG165" s="278"/>
      <c r="EI165" s="279"/>
      <c r="EJ165" s="278"/>
      <c r="EK165" s="278"/>
    </row>
    <row r="166" spans="2:141" x14ac:dyDescent="0.2">
      <c r="B166" s="78" t="s">
        <v>157</v>
      </c>
      <c r="C166" s="138">
        <v>0.9</v>
      </c>
      <c r="D166" s="138">
        <v>1</v>
      </c>
      <c r="E166" s="138">
        <v>1.3</v>
      </c>
      <c r="F166" s="138">
        <v>1.3</v>
      </c>
      <c r="G166" s="138">
        <v>1.7</v>
      </c>
      <c r="H166" s="139">
        <v>1.5</v>
      </c>
    </row>
    <row r="167" spans="2:141" x14ac:dyDescent="0.2">
      <c r="B167" s="78" t="s">
        <v>158</v>
      </c>
      <c r="C167" s="138">
        <v>1.5</v>
      </c>
      <c r="D167" s="138">
        <v>1.5</v>
      </c>
      <c r="E167" s="138">
        <v>1.5</v>
      </c>
      <c r="F167" s="138">
        <v>1.5</v>
      </c>
      <c r="G167" s="138">
        <v>1.5</v>
      </c>
      <c r="H167" s="139">
        <v>1.5</v>
      </c>
    </row>
    <row r="168" spans="2:141" x14ac:dyDescent="0.2">
      <c r="B168" s="78" t="s">
        <v>159</v>
      </c>
      <c r="C168" s="126">
        <v>0.33</v>
      </c>
      <c r="D168" s="126">
        <v>0.33</v>
      </c>
      <c r="E168" s="126">
        <v>0.33</v>
      </c>
      <c r="F168" s="126">
        <v>0.33</v>
      </c>
      <c r="G168" s="126">
        <v>4.05</v>
      </c>
      <c r="H168" s="127">
        <v>0.39</v>
      </c>
    </row>
    <row r="169" spans="2:141" x14ac:dyDescent="0.2">
      <c r="B169" s="78" t="s">
        <v>160</v>
      </c>
      <c r="C169" s="126">
        <v>1.4974800000000001</v>
      </c>
      <c r="D169" s="126">
        <v>1.5158399999999999</v>
      </c>
      <c r="E169" s="126">
        <v>1.5389400000000002</v>
      </c>
      <c r="F169" s="126">
        <v>1.6008599999999999</v>
      </c>
      <c r="G169" s="126">
        <v>1.80348</v>
      </c>
      <c r="H169" s="127">
        <v>1.78548</v>
      </c>
    </row>
    <row r="170" spans="2:141" x14ac:dyDescent="0.2">
      <c r="B170" s="78"/>
      <c r="C170" s="138"/>
      <c r="D170" s="126"/>
      <c r="E170" s="126"/>
      <c r="F170" s="126"/>
      <c r="G170" s="126"/>
      <c r="H170" s="127"/>
    </row>
    <row r="171" spans="2:141" ht="15.75" x14ac:dyDescent="0.2">
      <c r="B171" s="107" t="s">
        <v>353</v>
      </c>
      <c r="C171" s="126"/>
      <c r="D171" s="126"/>
      <c r="E171" s="126"/>
      <c r="F171" s="126"/>
      <c r="G171" s="136"/>
      <c r="H171" s="137"/>
      <c r="I171" s="278"/>
      <c r="J171" s="278"/>
      <c r="K171" s="278"/>
      <c r="M171" s="279"/>
      <c r="N171" s="278"/>
      <c r="O171" s="278"/>
      <c r="P171" s="278"/>
      <c r="Q171" s="278"/>
      <c r="R171" s="278"/>
      <c r="S171" s="278"/>
      <c r="T171" s="278"/>
      <c r="V171" s="279"/>
      <c r="W171" s="278"/>
      <c r="X171" s="278"/>
      <c r="Y171" s="278"/>
      <c r="Z171" s="278"/>
      <c r="AA171" s="278"/>
      <c r="AB171" s="278"/>
      <c r="AC171" s="278"/>
      <c r="AE171" s="279"/>
      <c r="AF171" s="278"/>
      <c r="AG171" s="278"/>
      <c r="AH171" s="278"/>
      <c r="AI171" s="278"/>
      <c r="AJ171" s="278"/>
      <c r="AK171" s="278"/>
      <c r="AL171" s="278"/>
      <c r="AN171" s="279"/>
      <c r="AO171" s="278"/>
      <c r="AP171" s="278"/>
      <c r="AQ171" s="278"/>
      <c r="AR171" s="278"/>
      <c r="AS171" s="278"/>
      <c r="AT171" s="278"/>
      <c r="AU171" s="278"/>
      <c r="AW171" s="279"/>
      <c r="AX171" s="278"/>
      <c r="AY171" s="278"/>
      <c r="AZ171" s="278"/>
      <c r="BA171" s="278"/>
      <c r="BB171" s="278"/>
      <c r="BC171" s="278"/>
      <c r="BD171" s="278"/>
      <c r="BF171" s="279"/>
      <c r="BG171" s="278"/>
      <c r="BH171" s="278"/>
      <c r="BI171" s="278"/>
      <c r="BJ171" s="278"/>
      <c r="BK171" s="278"/>
      <c r="BL171" s="278"/>
      <c r="BM171" s="278"/>
      <c r="BO171" s="279"/>
      <c r="BP171" s="278"/>
      <c r="BQ171" s="278"/>
      <c r="BR171" s="278"/>
      <c r="BS171" s="278"/>
      <c r="BT171" s="278"/>
      <c r="BU171" s="278"/>
      <c r="BV171" s="278"/>
      <c r="BX171" s="279"/>
      <c r="BY171" s="278"/>
      <c r="BZ171" s="278"/>
      <c r="CA171" s="278"/>
      <c r="CB171" s="278"/>
      <c r="CC171" s="278"/>
      <c r="CD171" s="278"/>
      <c r="CE171" s="278"/>
      <c r="CG171" s="279"/>
      <c r="CH171" s="278"/>
      <c r="CI171" s="278"/>
      <c r="CJ171" s="278"/>
      <c r="CK171" s="278"/>
      <c r="CL171" s="278"/>
      <c r="CM171" s="278"/>
      <c r="CN171" s="278"/>
      <c r="CP171" s="279"/>
      <c r="CQ171" s="278"/>
      <c r="CR171" s="278"/>
      <c r="CS171" s="278"/>
      <c r="CT171" s="278"/>
      <c r="CU171" s="278"/>
      <c r="CV171" s="278"/>
      <c r="CW171" s="278"/>
      <c r="CY171" s="279"/>
      <c r="CZ171" s="278"/>
      <c r="DA171" s="278"/>
      <c r="DB171" s="278"/>
      <c r="DC171" s="278"/>
      <c r="DD171" s="278"/>
      <c r="DE171" s="278"/>
      <c r="DF171" s="278"/>
      <c r="DH171" s="279"/>
      <c r="DI171" s="278"/>
      <c r="DJ171" s="278"/>
      <c r="DK171" s="278"/>
      <c r="DL171" s="278"/>
      <c r="DM171" s="278"/>
      <c r="DN171" s="278"/>
      <c r="DO171" s="278"/>
      <c r="DQ171" s="279"/>
      <c r="DR171" s="278"/>
      <c r="DS171" s="278"/>
      <c r="DT171" s="278"/>
      <c r="DU171" s="278"/>
      <c r="DV171" s="278"/>
      <c r="DW171" s="278"/>
      <c r="DX171" s="278"/>
      <c r="DZ171" s="279"/>
      <c r="EA171" s="278"/>
      <c r="EB171" s="278"/>
      <c r="EC171" s="278"/>
      <c r="ED171" s="278"/>
      <c r="EE171" s="278"/>
      <c r="EF171" s="278"/>
      <c r="EG171" s="278"/>
      <c r="EI171" s="279"/>
      <c r="EJ171" s="278"/>
      <c r="EK171" s="278"/>
    </row>
    <row r="172" spans="2:141" x14ac:dyDescent="0.2">
      <c r="B172" s="78" t="s">
        <v>157</v>
      </c>
      <c r="C172" s="138">
        <v>0.9</v>
      </c>
      <c r="D172" s="138">
        <v>1</v>
      </c>
      <c r="E172" s="138">
        <v>1.3</v>
      </c>
      <c r="F172" s="138">
        <v>1.3</v>
      </c>
      <c r="G172" s="138">
        <v>1.7</v>
      </c>
      <c r="H172" s="139">
        <v>1.5</v>
      </c>
    </row>
    <row r="173" spans="2:141" x14ac:dyDescent="0.2">
      <c r="B173" s="78" t="s">
        <v>158</v>
      </c>
      <c r="C173" s="138">
        <v>1.5</v>
      </c>
      <c r="D173" s="138">
        <v>1.5</v>
      </c>
      <c r="E173" s="138">
        <v>1.5</v>
      </c>
      <c r="F173" s="138">
        <v>1.5</v>
      </c>
      <c r="G173" s="138">
        <v>1.5</v>
      </c>
      <c r="H173" s="139">
        <v>1.5</v>
      </c>
    </row>
    <row r="174" spans="2:141" x14ac:dyDescent="0.2">
      <c r="B174" s="78" t="s">
        <v>207</v>
      </c>
      <c r="C174" s="138">
        <v>0.33</v>
      </c>
      <c r="D174" s="138">
        <v>0.33</v>
      </c>
      <c r="E174" s="138">
        <v>0.33</v>
      </c>
      <c r="F174" s="138">
        <v>0.33</v>
      </c>
      <c r="G174" s="126">
        <v>4.05</v>
      </c>
      <c r="H174" s="127">
        <v>0.39</v>
      </c>
    </row>
    <row r="175" spans="2:141" x14ac:dyDescent="0.2">
      <c r="B175" s="78" t="s">
        <v>160</v>
      </c>
      <c r="C175" s="138">
        <v>1.4974800000000001</v>
      </c>
      <c r="D175" s="138">
        <v>1.5158399999999999</v>
      </c>
      <c r="E175" s="138">
        <v>1.5389400000000002</v>
      </c>
      <c r="F175" s="138">
        <v>1.6008599999999999</v>
      </c>
      <c r="G175" s="126">
        <v>1.80348</v>
      </c>
      <c r="H175" s="127">
        <v>1.78548</v>
      </c>
    </row>
    <row r="176" spans="2:141" x14ac:dyDescent="0.2">
      <c r="B176" s="78"/>
      <c r="C176" s="138"/>
      <c r="D176" s="126"/>
      <c r="E176" s="126"/>
      <c r="F176" s="126"/>
      <c r="G176" s="126"/>
      <c r="H176" s="127"/>
    </row>
    <row r="177" spans="2:8" ht="15.75" x14ac:dyDescent="0.2">
      <c r="B177" s="140" t="s">
        <v>161</v>
      </c>
      <c r="C177" s="126"/>
      <c r="D177" s="126"/>
      <c r="E177" s="126"/>
      <c r="F177" s="126"/>
      <c r="G177" s="126"/>
      <c r="H177" s="127"/>
    </row>
    <row r="178" spans="2:8" x14ac:dyDescent="0.2">
      <c r="B178" s="141" t="s">
        <v>162</v>
      </c>
      <c r="C178" s="123">
        <v>600</v>
      </c>
      <c r="D178" s="123">
        <v>600</v>
      </c>
      <c r="E178" s="123">
        <v>600</v>
      </c>
      <c r="F178" s="123">
        <v>600</v>
      </c>
      <c r="G178" s="123">
        <v>600</v>
      </c>
      <c r="H178" s="124">
        <v>600</v>
      </c>
    </row>
    <row r="179" spans="2:8" x14ac:dyDescent="0.2">
      <c r="B179" s="141" t="s">
        <v>163</v>
      </c>
      <c r="C179" s="123">
        <v>16200</v>
      </c>
      <c r="D179" s="123">
        <v>16200</v>
      </c>
      <c r="E179" s="123">
        <v>16200</v>
      </c>
      <c r="F179" s="123">
        <v>16200</v>
      </c>
      <c r="G179" s="123">
        <v>16200</v>
      </c>
      <c r="H179" s="124">
        <v>16200</v>
      </c>
    </row>
    <row r="180" spans="2:8" x14ac:dyDescent="0.2">
      <c r="B180" s="141" t="s">
        <v>164</v>
      </c>
      <c r="C180" s="138">
        <v>1.6</v>
      </c>
      <c r="D180" s="138">
        <v>1.6</v>
      </c>
      <c r="E180" s="138">
        <v>1.6</v>
      </c>
      <c r="F180" s="138">
        <v>1.6</v>
      </c>
      <c r="G180" s="138">
        <v>1.6</v>
      </c>
      <c r="H180" s="139">
        <v>1.6</v>
      </c>
    </row>
    <row r="181" spans="2:8" x14ac:dyDescent="0.2">
      <c r="B181" s="141"/>
      <c r="C181" s="123"/>
      <c r="D181" s="123"/>
      <c r="E181" s="123"/>
      <c r="F181" s="138"/>
      <c r="G181" s="123"/>
      <c r="H181" s="124"/>
    </row>
    <row r="182" spans="2:8" x14ac:dyDescent="0.2">
      <c r="B182" s="85"/>
      <c r="C182" s="123"/>
      <c r="D182" s="123"/>
      <c r="E182" s="123"/>
      <c r="F182" s="123"/>
      <c r="G182" s="123"/>
      <c r="H182" s="124"/>
    </row>
    <row r="183" spans="2:8" ht="15.75" x14ac:dyDescent="0.2">
      <c r="B183" s="107" t="s">
        <v>165</v>
      </c>
      <c r="C183" s="123"/>
      <c r="D183" s="123"/>
      <c r="E183" s="123"/>
      <c r="F183" s="123"/>
      <c r="G183" s="123"/>
      <c r="H183" s="124"/>
    </row>
    <row r="184" spans="2:8" x14ac:dyDescent="0.2">
      <c r="B184" s="96" t="s">
        <v>166</v>
      </c>
      <c r="C184" s="142">
        <v>1.37</v>
      </c>
      <c r="D184" s="142">
        <v>1.27</v>
      </c>
      <c r="E184" s="142">
        <v>1.27</v>
      </c>
      <c r="F184" s="142">
        <v>1.27</v>
      </c>
      <c r="G184" s="142">
        <v>1.39</v>
      </c>
      <c r="H184" s="143">
        <v>1.27</v>
      </c>
    </row>
    <row r="185" spans="2:8" x14ac:dyDescent="0.2">
      <c r="B185" s="144" t="s">
        <v>167</v>
      </c>
      <c r="C185" s="142">
        <v>0</v>
      </c>
      <c r="D185" s="142">
        <v>0</v>
      </c>
      <c r="E185" s="142">
        <v>0</v>
      </c>
      <c r="F185" s="142">
        <v>0</v>
      </c>
      <c r="G185" s="142">
        <v>0.02</v>
      </c>
      <c r="H185" s="143">
        <v>0</v>
      </c>
    </row>
    <row r="186" spans="2:8" x14ac:dyDescent="0.2">
      <c r="B186" s="144" t="s">
        <v>168</v>
      </c>
      <c r="C186" s="142">
        <v>0.47</v>
      </c>
      <c r="D186" s="142">
        <v>0.37</v>
      </c>
      <c r="E186" s="142">
        <v>0.37</v>
      </c>
      <c r="F186" s="142">
        <v>0.37</v>
      </c>
      <c r="G186" s="142">
        <v>0.48</v>
      </c>
      <c r="H186" s="143">
        <v>0.37</v>
      </c>
    </row>
    <row r="187" spans="2:8" x14ac:dyDescent="0.2">
      <c r="B187" s="144" t="s">
        <v>169</v>
      </c>
      <c r="C187" s="142">
        <v>0.9</v>
      </c>
      <c r="D187" s="142">
        <v>0.9</v>
      </c>
      <c r="E187" s="142">
        <v>0.9</v>
      </c>
      <c r="F187" s="142">
        <v>0.9</v>
      </c>
      <c r="G187" s="142">
        <v>0.9</v>
      </c>
      <c r="H187" s="143">
        <v>0.9</v>
      </c>
    </row>
    <row r="188" spans="2:8" x14ac:dyDescent="0.2">
      <c r="B188" s="96"/>
      <c r="C188" s="145"/>
      <c r="D188" s="145"/>
      <c r="E188" s="145"/>
      <c r="F188" s="145"/>
      <c r="G188" s="145"/>
      <c r="H188" s="146"/>
    </row>
    <row r="189" spans="2:8" ht="15.75" x14ac:dyDescent="0.2">
      <c r="B189" s="107" t="s">
        <v>170</v>
      </c>
      <c r="C189" s="123"/>
      <c r="D189" s="123"/>
      <c r="E189" s="123"/>
      <c r="F189" s="123"/>
      <c r="G189" s="123"/>
      <c r="H189" s="124"/>
    </row>
    <row r="190" spans="2:8" x14ac:dyDescent="0.2">
      <c r="B190" s="96" t="s">
        <v>166</v>
      </c>
      <c r="C190" s="138">
        <v>8.8000000000000007</v>
      </c>
      <c r="D190" s="142">
        <v>8.8000000000000007</v>
      </c>
      <c r="E190" s="142">
        <v>8.8000000000000007</v>
      </c>
      <c r="F190" s="142">
        <v>8.8000000000000007</v>
      </c>
      <c r="G190" s="142">
        <v>11.44</v>
      </c>
      <c r="H190" s="143">
        <v>8.8000000000000007</v>
      </c>
    </row>
    <row r="191" spans="2:8" x14ac:dyDescent="0.2">
      <c r="B191" s="144" t="s">
        <v>167</v>
      </c>
      <c r="C191" s="138">
        <v>7.1</v>
      </c>
      <c r="D191" s="142">
        <v>7.1</v>
      </c>
      <c r="E191" s="142">
        <v>7.1</v>
      </c>
      <c r="F191" s="142">
        <v>7.1</v>
      </c>
      <c r="G191" s="142">
        <v>9.83</v>
      </c>
      <c r="H191" s="143">
        <v>7.1</v>
      </c>
    </row>
    <row r="192" spans="2:8" x14ac:dyDescent="0.2">
      <c r="B192" s="144" t="s">
        <v>168</v>
      </c>
      <c r="C192" s="138">
        <v>0.8</v>
      </c>
      <c r="D192" s="142">
        <v>0.8</v>
      </c>
      <c r="E192" s="142">
        <v>0.8</v>
      </c>
      <c r="F192" s="142">
        <v>0.8</v>
      </c>
      <c r="G192" s="142">
        <v>0.7</v>
      </c>
      <c r="H192" s="143">
        <v>0.8</v>
      </c>
    </row>
    <row r="193" spans="2:8" x14ac:dyDescent="0.2">
      <c r="B193" s="144" t="s">
        <v>169</v>
      </c>
      <c r="C193" s="138">
        <v>0.90000000000000124</v>
      </c>
      <c r="D193" s="142">
        <v>0.90000000000000124</v>
      </c>
      <c r="E193" s="142">
        <v>0.90000000000000124</v>
      </c>
      <c r="F193" s="142">
        <v>0.90000000000000124</v>
      </c>
      <c r="G193" s="142">
        <v>0.9</v>
      </c>
      <c r="H193" s="143">
        <v>0.9</v>
      </c>
    </row>
    <row r="194" spans="2:8" x14ac:dyDescent="0.2">
      <c r="B194" s="96"/>
      <c r="C194" s="145"/>
      <c r="D194" s="145"/>
      <c r="E194" s="145"/>
      <c r="F194" s="145"/>
      <c r="G194" s="145"/>
      <c r="H194" s="146"/>
    </row>
    <row r="195" spans="2:8" ht="15" customHeight="1" x14ac:dyDescent="0.2">
      <c r="B195" s="147" t="s">
        <v>171</v>
      </c>
      <c r="C195" s="104"/>
      <c r="D195" s="104"/>
      <c r="E195" s="104"/>
      <c r="F195" s="104"/>
      <c r="G195" s="104"/>
      <c r="H195" s="105"/>
    </row>
    <row r="196" spans="2:8" ht="15" customHeight="1" x14ac:dyDescent="0.2">
      <c r="B196" s="141" t="s">
        <v>172</v>
      </c>
      <c r="C196" s="148">
        <v>-25.4</v>
      </c>
      <c r="D196" s="148">
        <v>-25.4</v>
      </c>
      <c r="E196" s="148">
        <v>-25.4</v>
      </c>
      <c r="F196" s="148">
        <v>-25.4</v>
      </c>
      <c r="G196" s="148">
        <v>-30.2</v>
      </c>
      <c r="H196" s="149">
        <v>-30.2</v>
      </c>
    </row>
    <row r="197" spans="2:8" ht="15" customHeight="1" x14ac:dyDescent="0.2">
      <c r="B197" s="141" t="s">
        <v>173</v>
      </c>
      <c r="C197" s="148">
        <v>-8.6</v>
      </c>
      <c r="D197" s="148">
        <v>-8.6</v>
      </c>
      <c r="E197" s="148">
        <v>-8.6</v>
      </c>
      <c r="F197" s="148">
        <v>-8.6</v>
      </c>
      <c r="G197" s="148">
        <v>-8.9</v>
      </c>
      <c r="H197" s="149">
        <v>-8.9</v>
      </c>
    </row>
    <row r="198" spans="2:8" ht="15" customHeight="1" x14ac:dyDescent="0.2">
      <c r="B198" s="141"/>
      <c r="C198" s="148"/>
      <c r="D198" s="148"/>
      <c r="E198" s="148"/>
      <c r="F198" s="148"/>
      <c r="G198" s="148"/>
      <c r="H198" s="149"/>
    </row>
    <row r="199" spans="2:8" ht="15" customHeight="1" x14ac:dyDescent="0.2">
      <c r="B199" s="147" t="s">
        <v>174</v>
      </c>
      <c r="C199" s="148"/>
      <c r="D199" s="148"/>
      <c r="E199" s="148"/>
      <c r="F199" s="148"/>
      <c r="G199" s="148"/>
      <c r="H199" s="149"/>
    </row>
    <row r="200" spans="2:8" ht="15" customHeight="1" x14ac:dyDescent="0.2">
      <c r="B200" s="141" t="s">
        <v>172</v>
      </c>
      <c r="C200" s="148" t="s">
        <v>208</v>
      </c>
      <c r="D200" s="148" t="s">
        <v>208</v>
      </c>
      <c r="E200" s="148" t="s">
        <v>208</v>
      </c>
      <c r="F200" s="148" t="s">
        <v>208</v>
      </c>
      <c r="G200" s="148" t="s">
        <v>208</v>
      </c>
      <c r="H200" s="149" t="s">
        <v>208</v>
      </c>
    </row>
    <row r="201" spans="2:8" ht="15" customHeight="1" x14ac:dyDescent="0.2">
      <c r="B201" s="141" t="s">
        <v>173</v>
      </c>
      <c r="C201" s="148" t="s">
        <v>208</v>
      </c>
      <c r="D201" s="148" t="s">
        <v>208</v>
      </c>
      <c r="E201" s="148" t="s">
        <v>208</v>
      </c>
      <c r="F201" s="148" t="s">
        <v>208</v>
      </c>
      <c r="G201" s="148" t="s">
        <v>208</v>
      </c>
      <c r="H201" s="149" t="s">
        <v>208</v>
      </c>
    </row>
    <row r="202" spans="2:8" ht="15.75" thickBot="1" x14ac:dyDescent="0.25">
      <c r="B202" s="150"/>
      <c r="C202" s="111"/>
      <c r="D202" s="111"/>
      <c r="E202" s="111"/>
      <c r="F202" s="111"/>
      <c r="G202" s="151"/>
      <c r="H202" s="152"/>
    </row>
    <row r="203" spans="2:8" ht="17.25" thickTop="1" thickBot="1" x14ac:dyDescent="0.25">
      <c r="B203" s="95" t="s">
        <v>175</v>
      </c>
      <c r="C203" s="153"/>
      <c r="D203" s="153"/>
      <c r="E203" s="153"/>
      <c r="F203" s="153"/>
      <c r="G203" s="153"/>
      <c r="H203" s="154"/>
    </row>
    <row r="204" spans="2:8" ht="15.75" thickTop="1" x14ac:dyDescent="0.2">
      <c r="B204" s="141"/>
      <c r="C204" s="97"/>
      <c r="D204" s="97"/>
      <c r="E204" s="97"/>
      <c r="F204" s="97"/>
      <c r="G204" s="97"/>
      <c r="H204" s="98"/>
    </row>
    <row r="205" spans="2:8" x14ac:dyDescent="0.2">
      <c r="B205" s="141" t="s">
        <v>176</v>
      </c>
      <c r="C205" s="155"/>
      <c r="D205" s="155"/>
      <c r="E205" s="155"/>
      <c r="F205" s="155"/>
      <c r="G205" s="155"/>
      <c r="H205" s="156"/>
    </row>
    <row r="206" spans="2:8" ht="15.75" x14ac:dyDescent="0.2">
      <c r="B206" s="157" t="s">
        <v>177</v>
      </c>
      <c r="C206" s="158">
        <v>330.5</v>
      </c>
      <c r="D206" s="158">
        <v>330.5</v>
      </c>
      <c r="E206" s="158">
        <v>330.5</v>
      </c>
      <c r="F206" s="158">
        <v>330.5</v>
      </c>
      <c r="G206" s="158">
        <v>330.5</v>
      </c>
      <c r="H206" s="159">
        <v>330.5</v>
      </c>
    </row>
    <row r="207" spans="2:8" ht="15.75" x14ac:dyDescent="0.2">
      <c r="B207" s="125" t="s">
        <v>178</v>
      </c>
      <c r="C207" s="160">
        <v>6.8</v>
      </c>
      <c r="D207" s="160">
        <v>6.8</v>
      </c>
      <c r="E207" s="160">
        <v>6.8</v>
      </c>
      <c r="F207" s="160">
        <v>6.8</v>
      </c>
      <c r="G207" s="160">
        <v>6.8</v>
      </c>
      <c r="H207" s="161">
        <v>6.8</v>
      </c>
    </row>
    <row r="208" spans="2:8" x14ac:dyDescent="0.2">
      <c r="B208" s="157" t="s">
        <v>179</v>
      </c>
      <c r="C208" s="158">
        <v>72.400000000000006</v>
      </c>
      <c r="D208" s="158">
        <v>72.400000000000006</v>
      </c>
      <c r="E208" s="158">
        <v>72.400000000000006</v>
      </c>
      <c r="F208" s="158">
        <v>72.400000000000006</v>
      </c>
      <c r="G208" s="158">
        <v>72.400000000000006</v>
      </c>
      <c r="H208" s="159">
        <v>72.400000000000006</v>
      </c>
    </row>
    <row r="209" spans="2:8" ht="15.75" x14ac:dyDescent="0.2">
      <c r="B209" s="157" t="s">
        <v>180</v>
      </c>
      <c r="C209" s="158">
        <v>408000</v>
      </c>
      <c r="D209" s="158">
        <v>405600</v>
      </c>
      <c r="E209" s="158">
        <v>406800</v>
      </c>
      <c r="F209" s="158">
        <v>406800</v>
      </c>
      <c r="G209" s="158">
        <v>409200</v>
      </c>
      <c r="H209" s="159">
        <v>409200</v>
      </c>
    </row>
    <row r="210" spans="2:8" x14ac:dyDescent="0.2">
      <c r="B210" s="157"/>
      <c r="C210" s="162"/>
      <c r="D210" s="162"/>
      <c r="E210" s="162"/>
      <c r="F210" s="162"/>
      <c r="G210" s="162"/>
      <c r="H210" s="163"/>
    </row>
    <row r="211" spans="2:8" x14ac:dyDescent="0.2">
      <c r="B211" s="141" t="s">
        <v>181</v>
      </c>
      <c r="C211" s="162"/>
      <c r="D211" s="162"/>
      <c r="E211" s="162"/>
      <c r="F211" s="162"/>
      <c r="G211" s="162"/>
      <c r="H211" s="163"/>
    </row>
    <row r="212" spans="2:8" ht="15.75" x14ac:dyDescent="0.2">
      <c r="B212" s="157" t="s">
        <v>177</v>
      </c>
      <c r="C212" s="158">
        <v>26.4</v>
      </c>
      <c r="D212" s="158">
        <v>26.4</v>
      </c>
      <c r="E212" s="158">
        <v>26.4</v>
      </c>
      <c r="F212" s="158">
        <v>26.4</v>
      </c>
      <c r="G212" s="158">
        <v>26.4</v>
      </c>
      <c r="H212" s="159">
        <v>26.4</v>
      </c>
    </row>
    <row r="213" spans="2:8" ht="15.75" x14ac:dyDescent="0.2">
      <c r="B213" s="157" t="s">
        <v>178</v>
      </c>
      <c r="C213" s="160">
        <v>6.8</v>
      </c>
      <c r="D213" s="160">
        <v>6.8</v>
      </c>
      <c r="E213" s="160">
        <v>6.8</v>
      </c>
      <c r="F213" s="160">
        <v>6.8</v>
      </c>
      <c r="G213" s="160">
        <v>6.8</v>
      </c>
      <c r="H213" s="161">
        <v>6.8</v>
      </c>
    </row>
    <row r="214" spans="2:8" x14ac:dyDescent="0.2">
      <c r="B214" s="157" t="s">
        <v>179</v>
      </c>
      <c r="C214" s="158">
        <v>16.100000000000001</v>
      </c>
      <c r="D214" s="158">
        <v>16.100000000000001</v>
      </c>
      <c r="E214" s="158">
        <v>16.100000000000001</v>
      </c>
      <c r="F214" s="158">
        <v>16.100000000000001</v>
      </c>
      <c r="G214" s="158">
        <v>16.100000000000001</v>
      </c>
      <c r="H214" s="159">
        <v>16.100000000000001</v>
      </c>
    </row>
    <row r="215" spans="2:8" ht="15.75" x14ac:dyDescent="0.2">
      <c r="B215" s="157" t="s">
        <v>180</v>
      </c>
      <c r="C215" s="158">
        <v>408000</v>
      </c>
      <c r="D215" s="158">
        <v>405600</v>
      </c>
      <c r="E215" s="158">
        <v>406800</v>
      </c>
      <c r="F215" s="158">
        <v>406800</v>
      </c>
      <c r="G215" s="158">
        <v>409200</v>
      </c>
      <c r="H215" s="159">
        <v>409200</v>
      </c>
    </row>
    <row r="216" spans="2:8" ht="15.75" thickBot="1" x14ac:dyDescent="0.25">
      <c r="B216" s="141"/>
      <c r="C216" s="164"/>
      <c r="D216" s="164"/>
      <c r="E216" s="164"/>
      <c r="F216" s="164"/>
      <c r="G216" s="164"/>
      <c r="H216" s="165"/>
    </row>
    <row r="217" spans="2:8" ht="17.25" thickTop="1" thickBot="1" x14ac:dyDescent="0.25">
      <c r="B217" s="95" t="s">
        <v>182</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176</v>
      </c>
      <c r="C219" s="170"/>
      <c r="D219" s="171"/>
      <c r="E219" s="171"/>
      <c r="F219" s="171"/>
      <c r="G219" s="171"/>
      <c r="H219" s="172"/>
    </row>
    <row r="220" spans="2:8" ht="15.75" x14ac:dyDescent="0.2">
      <c r="B220" s="157" t="s">
        <v>177</v>
      </c>
      <c r="C220" s="158">
        <v>640</v>
      </c>
      <c r="D220" s="158">
        <v>640</v>
      </c>
      <c r="E220" s="158">
        <v>640</v>
      </c>
      <c r="F220" s="158">
        <v>640</v>
      </c>
      <c r="G220" s="158">
        <v>640</v>
      </c>
      <c r="H220" s="159">
        <v>640</v>
      </c>
    </row>
    <row r="221" spans="2:8" ht="15.75" x14ac:dyDescent="0.2">
      <c r="B221" s="125" t="s">
        <v>178</v>
      </c>
      <c r="C221" s="160">
        <v>5.2</v>
      </c>
      <c r="D221" s="160">
        <v>5.0999999999999996</v>
      </c>
      <c r="E221" s="160">
        <v>5.2</v>
      </c>
      <c r="F221" s="160">
        <v>5.2</v>
      </c>
      <c r="G221" s="160">
        <v>5.2</v>
      </c>
      <c r="H221" s="161">
        <v>5.2</v>
      </c>
    </row>
    <row r="222" spans="2:8" ht="18.600000000000001" customHeight="1" x14ac:dyDescent="0.2">
      <c r="B222" s="157" t="s">
        <v>179</v>
      </c>
      <c r="C222" s="158">
        <v>109.4</v>
      </c>
      <c r="D222" s="158">
        <v>109.4</v>
      </c>
      <c r="E222" s="158">
        <v>109.4</v>
      </c>
      <c r="F222" s="158">
        <v>109.4</v>
      </c>
      <c r="G222" s="158">
        <v>109.4</v>
      </c>
      <c r="H222" s="159">
        <v>109.4</v>
      </c>
    </row>
    <row r="223" spans="2:8" ht="15.75" x14ac:dyDescent="0.2">
      <c r="B223" s="157" t="s">
        <v>180</v>
      </c>
      <c r="C223" s="158">
        <v>544000</v>
      </c>
      <c r="D223" s="158">
        <v>540800</v>
      </c>
      <c r="E223" s="158">
        <v>542400</v>
      </c>
      <c r="F223" s="158">
        <v>542400</v>
      </c>
      <c r="G223" s="158">
        <v>545600</v>
      </c>
      <c r="H223" s="159">
        <v>545600</v>
      </c>
    </row>
    <row r="224" spans="2:8" x14ac:dyDescent="0.2">
      <c r="B224" s="157"/>
      <c r="C224" s="158"/>
      <c r="D224" s="158"/>
      <c r="E224" s="158"/>
      <c r="F224" s="158"/>
      <c r="G224" s="158"/>
      <c r="H224" s="159"/>
    </row>
    <row r="225" spans="2:8" x14ac:dyDescent="0.2">
      <c r="B225" s="141" t="s">
        <v>181</v>
      </c>
      <c r="C225" s="162"/>
      <c r="D225" s="162"/>
      <c r="E225" s="162"/>
      <c r="F225" s="162"/>
      <c r="G225" s="162"/>
      <c r="H225" s="163"/>
    </row>
    <row r="226" spans="2:8" ht="15.75" x14ac:dyDescent="0.2">
      <c r="B226" s="157" t="s">
        <v>177</v>
      </c>
      <c r="C226" s="158">
        <v>96</v>
      </c>
      <c r="D226" s="158">
        <v>96</v>
      </c>
      <c r="E226" s="158">
        <v>96</v>
      </c>
      <c r="F226" s="158">
        <v>96</v>
      </c>
      <c r="G226" s="158">
        <v>96</v>
      </c>
      <c r="H226" s="159">
        <v>96</v>
      </c>
    </row>
    <row r="227" spans="2:8" ht="15.75" x14ac:dyDescent="0.2">
      <c r="B227" s="157" t="s">
        <v>178</v>
      </c>
      <c r="C227" s="160">
        <v>5.2</v>
      </c>
      <c r="D227" s="160">
        <v>5.0999999999999996</v>
      </c>
      <c r="E227" s="160">
        <v>5.2</v>
      </c>
      <c r="F227" s="160">
        <v>5.2</v>
      </c>
      <c r="G227" s="160">
        <v>5.2</v>
      </c>
      <c r="H227" s="161">
        <v>5.2</v>
      </c>
    </row>
    <row r="228" spans="2:8" x14ac:dyDescent="0.2">
      <c r="B228" s="157" t="s">
        <v>179</v>
      </c>
      <c r="C228" s="158">
        <v>18.600000000000001</v>
      </c>
      <c r="D228" s="158">
        <v>18.600000000000001</v>
      </c>
      <c r="E228" s="158">
        <v>18.600000000000001</v>
      </c>
      <c r="F228" s="158">
        <v>18.600000000000001</v>
      </c>
      <c r="G228" s="158">
        <v>18.600000000000001</v>
      </c>
      <c r="H228" s="159">
        <v>18.600000000000001</v>
      </c>
    </row>
    <row r="229" spans="2:8" ht="15.75" x14ac:dyDescent="0.2">
      <c r="B229" s="157" t="s">
        <v>180</v>
      </c>
      <c r="C229" s="158">
        <v>544000</v>
      </c>
      <c r="D229" s="158">
        <v>540800</v>
      </c>
      <c r="E229" s="158">
        <v>542400</v>
      </c>
      <c r="F229" s="158">
        <v>542400</v>
      </c>
      <c r="G229" s="158">
        <v>545600</v>
      </c>
      <c r="H229" s="159">
        <v>545600</v>
      </c>
    </row>
    <row r="230" spans="2:8" ht="15.75" thickBot="1" x14ac:dyDescent="0.25">
      <c r="B230" s="173"/>
      <c r="C230" s="174"/>
      <c r="D230" s="174"/>
      <c r="E230" s="174"/>
      <c r="F230" s="174"/>
      <c r="G230" s="174"/>
      <c r="H230" s="175"/>
    </row>
    <row r="231" spans="2:8" ht="16.5" thickTop="1" x14ac:dyDescent="0.2">
      <c r="B231" s="176" t="s">
        <v>183</v>
      </c>
      <c r="C231" s="177"/>
      <c r="D231" s="177"/>
      <c r="E231" s="177"/>
      <c r="F231" s="177"/>
      <c r="G231" s="177"/>
      <c r="H231" s="178"/>
    </row>
    <row r="232" spans="2:8" s="179" customFormat="1" x14ac:dyDescent="0.2">
      <c r="B232" s="78" t="s">
        <v>184</v>
      </c>
      <c r="C232" s="180"/>
      <c r="D232" s="180"/>
      <c r="E232" s="180"/>
      <c r="F232" s="180"/>
      <c r="G232" s="180"/>
      <c r="H232" s="181"/>
    </row>
    <row r="233" spans="2:8" s="179" customFormat="1" x14ac:dyDescent="0.2">
      <c r="B233" s="78" t="s">
        <v>185</v>
      </c>
      <c r="C233" s="180"/>
      <c r="D233" s="180"/>
      <c r="E233" s="180"/>
      <c r="F233" s="180"/>
      <c r="G233" s="180"/>
      <c r="H233" s="181"/>
    </row>
    <row r="234" spans="2:8" s="179" customFormat="1" ht="15" customHeight="1" x14ac:dyDescent="0.2">
      <c r="B234" s="182" t="s">
        <v>186</v>
      </c>
      <c r="C234" s="183"/>
      <c r="D234" s="183"/>
      <c r="E234" s="183"/>
      <c r="F234" s="183"/>
      <c r="G234" s="183"/>
      <c r="H234" s="184"/>
    </row>
    <row r="235" spans="2:8" s="179" customFormat="1" ht="15" customHeight="1" x14ac:dyDescent="0.2">
      <c r="B235" s="182" t="s">
        <v>187</v>
      </c>
      <c r="C235" s="183"/>
      <c r="D235" s="183"/>
      <c r="E235" s="183"/>
      <c r="F235" s="183"/>
      <c r="G235" s="183"/>
      <c r="H235" s="184"/>
    </row>
    <row r="236" spans="2:8" s="179" customFormat="1" ht="15" hidden="1" customHeight="1" x14ac:dyDescent="0.2">
      <c r="B236" s="185"/>
      <c r="C236" s="183"/>
      <c r="D236" s="183"/>
      <c r="E236" s="183"/>
      <c r="F236" s="183"/>
      <c r="G236" s="183"/>
      <c r="H236" s="184"/>
    </row>
    <row r="237" spans="2:8" s="179" customFormat="1" x14ac:dyDescent="0.2">
      <c r="B237" s="78" t="s">
        <v>188</v>
      </c>
      <c r="C237" s="180"/>
      <c r="D237" s="180"/>
      <c r="E237" s="180"/>
      <c r="F237" s="180"/>
      <c r="G237" s="180"/>
      <c r="H237" s="181"/>
    </row>
    <row r="238" spans="2:8" s="179" customFormat="1" x14ac:dyDescent="0.2">
      <c r="B238" s="78" t="s">
        <v>189</v>
      </c>
      <c r="C238" s="180"/>
      <c r="D238" s="180"/>
      <c r="E238" s="180"/>
      <c r="F238" s="180"/>
      <c r="G238" s="180"/>
      <c r="H238" s="181"/>
    </row>
    <row r="239" spans="2:8" s="179" customFormat="1" x14ac:dyDescent="0.2">
      <c r="B239" s="78" t="s">
        <v>190</v>
      </c>
      <c r="C239" s="180"/>
      <c r="D239" s="180"/>
      <c r="E239" s="180"/>
      <c r="F239" s="180"/>
      <c r="G239" s="180"/>
      <c r="H239" s="181"/>
    </row>
    <row r="240" spans="2:8" s="179" customFormat="1" ht="15" customHeight="1" x14ac:dyDescent="0.2">
      <c r="B240" s="182" t="s">
        <v>191</v>
      </c>
      <c r="C240" s="183"/>
      <c r="D240" s="183"/>
      <c r="E240" s="183"/>
      <c r="F240" s="183"/>
      <c r="G240" s="183"/>
      <c r="H240" s="184"/>
    </row>
    <row r="241" spans="2:8" s="179" customFormat="1" x14ac:dyDescent="0.2">
      <c r="B241" s="78" t="s">
        <v>192</v>
      </c>
      <c r="C241" s="183"/>
      <c r="D241" s="183"/>
      <c r="E241" s="183"/>
      <c r="F241" s="183"/>
      <c r="G241" s="183"/>
      <c r="H241" s="184"/>
    </row>
    <row r="242" spans="2:8" s="179" customFormat="1" x14ac:dyDescent="0.2">
      <c r="B242" s="78" t="s">
        <v>193</v>
      </c>
      <c r="C242" s="180"/>
      <c r="D242" s="180"/>
      <c r="E242" s="180"/>
      <c r="F242" s="180"/>
      <c r="G242" s="180"/>
      <c r="H242" s="181"/>
    </row>
    <row r="243" spans="2:8" s="179" customFormat="1" x14ac:dyDescent="0.2">
      <c r="B243" s="78" t="s">
        <v>194</v>
      </c>
      <c r="C243" s="180"/>
      <c r="D243" s="180"/>
      <c r="E243" s="180"/>
      <c r="F243" s="180"/>
      <c r="G243" s="180"/>
      <c r="H243" s="181"/>
    </row>
    <row r="244" spans="2:8" s="179" customFormat="1" x14ac:dyDescent="0.2">
      <c r="B244" s="78" t="s">
        <v>195</v>
      </c>
      <c r="C244" s="180"/>
      <c r="D244" s="180"/>
      <c r="E244" s="180"/>
      <c r="F244" s="180"/>
      <c r="G244" s="180"/>
      <c r="H244" s="181"/>
    </row>
    <row r="245" spans="2:8" s="179" customFormat="1" x14ac:dyDescent="0.2">
      <c r="B245" s="78" t="s">
        <v>196</v>
      </c>
      <c r="C245" s="180"/>
      <c r="D245" s="180"/>
      <c r="E245" s="180"/>
      <c r="F245" s="180"/>
      <c r="G245" s="180"/>
      <c r="H245" s="181"/>
    </row>
    <row r="246" spans="2:8" ht="15.75" thickBot="1" x14ac:dyDescent="0.25">
      <c r="B246" s="110"/>
      <c r="C246" s="186"/>
      <c r="D246" s="186"/>
      <c r="E246" s="186"/>
      <c r="F246" s="186"/>
      <c r="G246" s="186"/>
      <c r="H246" s="187"/>
    </row>
    <row r="247" spans="2:8" ht="15.75" thickTop="1" x14ac:dyDescent="0.2"/>
  </sheetData>
  <mergeCells count="4">
    <mergeCell ref="B2:H2"/>
    <mergeCell ref="B3:H3"/>
    <mergeCell ref="B4:H4"/>
    <mergeCell ref="B5:H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H247"/>
  <sheetViews>
    <sheetView workbookViewId="0"/>
  </sheetViews>
  <sheetFormatPr defaultColWidth="10.6640625" defaultRowHeight="15" x14ac:dyDescent="0.2"/>
  <cols>
    <col min="1" max="1" width="14.83203125" style="61" customWidth="1"/>
    <col min="2" max="2" width="62.1640625" style="61" customWidth="1"/>
    <col min="3" max="5" width="30" style="188" customWidth="1"/>
    <col min="6" max="16384" width="10.6640625" style="61"/>
  </cols>
  <sheetData>
    <row r="1" spans="2:5" ht="16.5" thickBot="1" x14ac:dyDescent="0.25">
      <c r="B1" s="62"/>
      <c r="C1" s="63"/>
      <c r="D1" s="63"/>
      <c r="E1" s="63"/>
    </row>
    <row r="2" spans="2:5" ht="16.5" thickTop="1" x14ac:dyDescent="0.2">
      <c r="B2" s="310" t="s">
        <v>76</v>
      </c>
      <c r="C2" s="311"/>
      <c r="D2" s="311"/>
      <c r="E2" s="312"/>
    </row>
    <row r="3" spans="2:5" ht="15.75" x14ac:dyDescent="0.2">
      <c r="B3" s="313" t="s">
        <v>77</v>
      </c>
      <c r="C3" s="314"/>
      <c r="D3" s="314"/>
      <c r="E3" s="315"/>
    </row>
    <row r="4" spans="2:5" ht="15.75" x14ac:dyDescent="0.2">
      <c r="B4" s="316" t="s">
        <v>78</v>
      </c>
      <c r="C4" s="317"/>
      <c r="D4" s="317"/>
      <c r="E4" s="318"/>
    </row>
    <row r="5" spans="2:5" ht="16.5" thickBot="1" x14ac:dyDescent="0.25">
      <c r="B5" s="319" t="s">
        <v>350</v>
      </c>
      <c r="C5" s="320"/>
      <c r="D5" s="320"/>
      <c r="E5" s="321"/>
    </row>
    <row r="6" spans="2:5" ht="48.6" customHeight="1" thickTop="1" thickBot="1" x14ac:dyDescent="0.25">
      <c r="B6" s="65" t="s">
        <v>79</v>
      </c>
      <c r="C6" s="66" t="s">
        <v>65</v>
      </c>
      <c r="D6" s="66" t="s">
        <v>64</v>
      </c>
      <c r="E6" s="67" t="s">
        <v>62</v>
      </c>
    </row>
    <row r="7" spans="2:5" ht="15.6" customHeight="1" thickTop="1" thickBot="1" x14ac:dyDescent="0.25">
      <c r="B7" s="68" t="s">
        <v>80</v>
      </c>
      <c r="C7" s="69"/>
      <c r="D7" s="69"/>
      <c r="E7" s="280"/>
    </row>
    <row r="8" spans="2:5" ht="15.75" thickTop="1" x14ac:dyDescent="0.2">
      <c r="B8" s="72" t="s">
        <v>81</v>
      </c>
      <c r="C8" s="73">
        <v>1</v>
      </c>
      <c r="D8" s="73">
        <v>1</v>
      </c>
      <c r="E8" s="74">
        <v>1</v>
      </c>
    </row>
    <row r="9" spans="2:5" x14ac:dyDescent="0.2">
      <c r="B9" s="75" t="s">
        <v>82</v>
      </c>
      <c r="C9" s="76" t="s">
        <v>83</v>
      </c>
      <c r="D9" s="76" t="s">
        <v>83</v>
      </c>
      <c r="E9" s="77" t="s">
        <v>83</v>
      </c>
    </row>
    <row r="10" spans="2:5" ht="15" customHeight="1" x14ac:dyDescent="0.2">
      <c r="B10" s="78" t="s">
        <v>84</v>
      </c>
      <c r="C10" s="79" t="s">
        <v>85</v>
      </c>
      <c r="D10" s="79" t="s">
        <v>85</v>
      </c>
      <c r="E10" s="80" t="s">
        <v>85</v>
      </c>
    </row>
    <row r="11" spans="2:5" ht="15" customHeight="1" x14ac:dyDescent="0.2">
      <c r="B11" s="78" t="s">
        <v>86</v>
      </c>
      <c r="C11" s="79" t="s">
        <v>87</v>
      </c>
      <c r="D11" s="79" t="s">
        <v>87</v>
      </c>
      <c r="E11" s="80" t="s">
        <v>87</v>
      </c>
    </row>
    <row r="12" spans="2:5" ht="15" customHeight="1" x14ac:dyDescent="0.2">
      <c r="B12" s="78" t="s">
        <v>88</v>
      </c>
      <c r="C12" s="79">
        <v>45</v>
      </c>
      <c r="D12" s="79">
        <v>45</v>
      </c>
      <c r="E12" s="80">
        <v>45</v>
      </c>
    </row>
    <row r="13" spans="2:5" hidden="1" x14ac:dyDescent="0.2">
      <c r="B13" s="78"/>
      <c r="C13" s="81"/>
      <c r="D13" s="81"/>
      <c r="E13" s="82"/>
    </row>
    <row r="14" spans="2:5" hidden="1" x14ac:dyDescent="0.2">
      <c r="B14" s="78"/>
      <c r="C14" s="79"/>
      <c r="D14" s="79"/>
      <c r="E14" s="80"/>
    </row>
    <row r="15" spans="2:5" hidden="1" x14ac:dyDescent="0.2">
      <c r="B15" s="78"/>
      <c r="C15" s="83"/>
      <c r="D15" s="83"/>
      <c r="E15" s="84"/>
    </row>
    <row r="16" spans="2:5" x14ac:dyDescent="0.2">
      <c r="B16" s="85" t="s">
        <v>89</v>
      </c>
      <c r="C16" s="83">
        <v>4.3400000000000001E-2</v>
      </c>
      <c r="D16" s="83">
        <v>4.3400000000000001E-2</v>
      </c>
      <c r="E16" s="84">
        <v>4.3400000000000001E-2</v>
      </c>
    </row>
    <row r="17" spans="2:5" hidden="1" x14ac:dyDescent="0.2">
      <c r="B17" s="85"/>
      <c r="C17" s="83"/>
      <c r="D17" s="83"/>
      <c r="E17" s="84"/>
    </row>
    <row r="18" spans="2:5" x14ac:dyDescent="0.2">
      <c r="B18" s="85" t="s">
        <v>90</v>
      </c>
      <c r="C18" s="86">
        <v>15</v>
      </c>
      <c r="D18" s="86">
        <v>15</v>
      </c>
      <c r="E18" s="87">
        <v>15</v>
      </c>
    </row>
    <row r="19" spans="2:5" ht="30" x14ac:dyDescent="0.2">
      <c r="B19" s="78" t="s">
        <v>91</v>
      </c>
      <c r="C19" s="88" t="s">
        <v>92</v>
      </c>
      <c r="D19" s="88" t="s">
        <v>92</v>
      </c>
      <c r="E19" s="89" t="s">
        <v>92</v>
      </c>
    </row>
    <row r="20" spans="2:5" ht="15" customHeight="1" x14ac:dyDescent="0.2">
      <c r="B20" s="78" t="s">
        <v>93</v>
      </c>
      <c r="C20" s="88" t="s">
        <v>94</v>
      </c>
      <c r="D20" s="88" t="s">
        <v>94</v>
      </c>
      <c r="E20" s="89" t="s">
        <v>94</v>
      </c>
    </row>
    <row r="21" spans="2:5" ht="15" customHeight="1" x14ac:dyDescent="0.2">
      <c r="B21" s="75" t="s">
        <v>95</v>
      </c>
      <c r="C21" s="90" t="s">
        <v>96</v>
      </c>
      <c r="D21" s="90" t="s">
        <v>96</v>
      </c>
      <c r="E21" s="91" t="s">
        <v>96</v>
      </c>
    </row>
    <row r="22" spans="2:5" ht="33" customHeight="1" x14ac:dyDescent="0.2">
      <c r="B22" s="85" t="s">
        <v>97</v>
      </c>
      <c r="C22" s="88" t="s">
        <v>360</v>
      </c>
      <c r="D22" s="88" t="s">
        <v>360</v>
      </c>
      <c r="E22" s="89" t="s">
        <v>360</v>
      </c>
    </row>
    <row r="23" spans="2:5" ht="15" customHeight="1" x14ac:dyDescent="0.2">
      <c r="B23" s="85" t="s">
        <v>99</v>
      </c>
      <c r="C23" s="88" t="s">
        <v>100</v>
      </c>
      <c r="D23" s="88" t="s">
        <v>100</v>
      </c>
      <c r="E23" s="89" t="s">
        <v>100</v>
      </c>
    </row>
    <row r="24" spans="2:5" ht="15" customHeight="1" x14ac:dyDescent="0.2">
      <c r="B24" s="75" t="s">
        <v>101</v>
      </c>
      <c r="C24" s="90" t="s">
        <v>102</v>
      </c>
      <c r="D24" s="90" t="s">
        <v>102</v>
      </c>
      <c r="E24" s="91" t="s">
        <v>102</v>
      </c>
    </row>
    <row r="25" spans="2:5" x14ac:dyDescent="0.2">
      <c r="B25" s="75" t="s">
        <v>103</v>
      </c>
      <c r="C25" s="92">
        <v>345</v>
      </c>
      <c r="D25" s="92">
        <v>345</v>
      </c>
      <c r="E25" s="93">
        <v>345</v>
      </c>
    </row>
    <row r="26" spans="2:5" ht="15" customHeight="1" x14ac:dyDescent="0.2">
      <c r="B26" s="75" t="s">
        <v>104</v>
      </c>
      <c r="C26" s="90" t="s">
        <v>105</v>
      </c>
      <c r="D26" s="90" t="s">
        <v>105</v>
      </c>
      <c r="E26" s="91" t="s">
        <v>105</v>
      </c>
    </row>
    <row r="27" spans="2:5" ht="15" customHeight="1" x14ac:dyDescent="0.2">
      <c r="B27" s="75" t="s">
        <v>106</v>
      </c>
      <c r="C27" s="79">
        <v>3</v>
      </c>
      <c r="D27" s="79">
        <v>3</v>
      </c>
      <c r="E27" s="80">
        <v>3</v>
      </c>
    </row>
    <row r="28" spans="2:5" ht="15.75" thickBot="1" x14ac:dyDescent="0.25">
      <c r="B28" s="94"/>
      <c r="C28" s="70"/>
      <c r="D28" s="70"/>
      <c r="E28" s="71"/>
    </row>
    <row r="29" spans="2:5" ht="17.25" thickTop="1" thickBot="1" x14ac:dyDescent="0.25">
      <c r="B29" s="95" t="s">
        <v>107</v>
      </c>
      <c r="C29" s="70"/>
      <c r="D29" s="70"/>
      <c r="E29" s="71"/>
    </row>
    <row r="30" spans="2:5" ht="15.75" thickTop="1" x14ac:dyDescent="0.2">
      <c r="B30" s="96"/>
      <c r="C30" s="97"/>
      <c r="D30" s="97"/>
      <c r="E30" s="98"/>
    </row>
    <row r="31" spans="2:5" x14ac:dyDescent="0.2">
      <c r="B31" s="78" t="s">
        <v>108</v>
      </c>
      <c r="C31" s="99"/>
      <c r="D31" s="99"/>
      <c r="E31" s="100"/>
    </row>
    <row r="32" spans="2:5" x14ac:dyDescent="0.2">
      <c r="B32" s="101" t="s">
        <v>109</v>
      </c>
      <c r="C32" s="102">
        <v>77.7</v>
      </c>
      <c r="D32" s="102">
        <v>78.099999999999994</v>
      </c>
      <c r="E32" s="103">
        <v>78.900000000000006</v>
      </c>
    </row>
    <row r="33" spans="2:5" x14ac:dyDescent="0.2">
      <c r="B33" s="101" t="s">
        <v>110</v>
      </c>
      <c r="C33" s="104">
        <v>0.46899999999999997</v>
      </c>
      <c r="D33" s="104">
        <v>0.48</v>
      </c>
      <c r="E33" s="105">
        <v>0.51</v>
      </c>
    </row>
    <row r="34" spans="2:5" x14ac:dyDescent="0.2">
      <c r="B34" s="101" t="s">
        <v>67</v>
      </c>
      <c r="C34" s="99">
        <v>335300</v>
      </c>
      <c r="D34" s="99">
        <v>336700</v>
      </c>
      <c r="E34" s="100">
        <v>337400</v>
      </c>
    </row>
    <row r="35" spans="2:5" x14ac:dyDescent="0.2">
      <c r="B35" s="101" t="s">
        <v>71</v>
      </c>
      <c r="C35" s="99">
        <v>9400</v>
      </c>
      <c r="D35" s="99">
        <v>9270</v>
      </c>
      <c r="E35" s="100">
        <v>9400</v>
      </c>
    </row>
    <row r="36" spans="2:5" x14ac:dyDescent="0.2">
      <c r="B36" s="101" t="s">
        <v>111</v>
      </c>
      <c r="C36" s="99">
        <v>3150</v>
      </c>
      <c r="D36" s="99">
        <v>3120</v>
      </c>
      <c r="E36" s="100">
        <v>3170</v>
      </c>
    </row>
    <row r="37" spans="2:5" ht="15" customHeight="1" x14ac:dyDescent="0.2">
      <c r="B37" s="78"/>
      <c r="C37" s="99"/>
      <c r="D37" s="99"/>
      <c r="E37" s="100"/>
    </row>
    <row r="38" spans="2:5" x14ac:dyDescent="0.2">
      <c r="B38" s="101" t="s">
        <v>112</v>
      </c>
      <c r="C38" s="99">
        <v>130600</v>
      </c>
      <c r="D38" s="99">
        <v>131200</v>
      </c>
      <c r="E38" s="100">
        <v>131600</v>
      </c>
    </row>
    <row r="39" spans="2:5" x14ac:dyDescent="0.2">
      <c r="B39" s="101" t="s">
        <v>113</v>
      </c>
      <c r="C39" s="99">
        <v>12030</v>
      </c>
      <c r="D39" s="99">
        <v>11890</v>
      </c>
      <c r="E39" s="100">
        <v>12080</v>
      </c>
    </row>
    <row r="40" spans="2:5" x14ac:dyDescent="0.2">
      <c r="B40" s="101" t="s">
        <v>114</v>
      </c>
      <c r="C40" s="99">
        <v>1570</v>
      </c>
      <c r="D40" s="99">
        <v>1560</v>
      </c>
      <c r="E40" s="100">
        <v>1590</v>
      </c>
    </row>
    <row r="41" spans="2:5" x14ac:dyDescent="0.2">
      <c r="B41" s="78"/>
      <c r="C41" s="99"/>
      <c r="D41" s="99"/>
      <c r="E41" s="100"/>
    </row>
    <row r="42" spans="2:5" x14ac:dyDescent="0.2">
      <c r="B42" s="78"/>
      <c r="C42" s="99"/>
      <c r="D42" s="99"/>
      <c r="E42" s="100"/>
    </row>
    <row r="43" spans="2:5" x14ac:dyDescent="0.2">
      <c r="B43" s="78" t="s">
        <v>115</v>
      </c>
      <c r="C43" s="99"/>
      <c r="D43" s="99"/>
      <c r="E43" s="100"/>
    </row>
    <row r="44" spans="2:5" x14ac:dyDescent="0.2">
      <c r="B44" s="101" t="s">
        <v>109</v>
      </c>
      <c r="C44" s="102">
        <v>28.4</v>
      </c>
      <c r="D44" s="102">
        <v>29.2</v>
      </c>
      <c r="E44" s="103">
        <v>32.6</v>
      </c>
    </row>
    <row r="45" spans="2:5" x14ac:dyDescent="0.2">
      <c r="B45" s="101" t="s">
        <v>110</v>
      </c>
      <c r="C45" s="104">
        <v>0.72799999999999998</v>
      </c>
      <c r="D45" s="104">
        <v>0.68299999999999994</v>
      </c>
      <c r="E45" s="105">
        <v>0.66900000000000004</v>
      </c>
    </row>
    <row r="46" spans="2:5" ht="15" customHeight="1" x14ac:dyDescent="0.2">
      <c r="B46" s="101" t="s">
        <v>67</v>
      </c>
      <c r="C46" s="99">
        <v>346700</v>
      </c>
      <c r="D46" s="99">
        <v>348400</v>
      </c>
      <c r="E46" s="100">
        <v>349200</v>
      </c>
    </row>
    <row r="47" spans="2:5" ht="15" customHeight="1" x14ac:dyDescent="0.2">
      <c r="B47" s="101" t="s">
        <v>71</v>
      </c>
      <c r="C47" s="99">
        <v>9310</v>
      </c>
      <c r="D47" s="99">
        <v>9180</v>
      </c>
      <c r="E47" s="100">
        <v>9310</v>
      </c>
    </row>
    <row r="48" spans="2:5" ht="15" customHeight="1" x14ac:dyDescent="0.2">
      <c r="B48" s="101" t="s">
        <v>111</v>
      </c>
      <c r="C48" s="99">
        <v>3230</v>
      </c>
      <c r="D48" s="99">
        <v>3200</v>
      </c>
      <c r="E48" s="100">
        <v>3250</v>
      </c>
    </row>
    <row r="49" spans="2:5" ht="15" customHeight="1" x14ac:dyDescent="0.2">
      <c r="B49" s="78"/>
      <c r="C49" s="99"/>
      <c r="D49" s="99"/>
      <c r="E49" s="100"/>
    </row>
    <row r="50" spans="2:5" ht="15" customHeight="1" x14ac:dyDescent="0.2">
      <c r="B50" s="101" t="s">
        <v>112</v>
      </c>
      <c r="C50" s="99">
        <v>104000</v>
      </c>
      <c r="D50" s="99">
        <v>104600</v>
      </c>
      <c r="E50" s="100">
        <v>104800</v>
      </c>
    </row>
    <row r="51" spans="2:5" x14ac:dyDescent="0.2">
      <c r="B51" s="101" t="s">
        <v>113</v>
      </c>
      <c r="C51" s="99">
        <v>13500</v>
      </c>
      <c r="D51" s="99">
        <v>13290</v>
      </c>
      <c r="E51" s="100">
        <v>13450</v>
      </c>
    </row>
    <row r="52" spans="2:5" x14ac:dyDescent="0.2">
      <c r="B52" s="101" t="s">
        <v>114</v>
      </c>
      <c r="C52" s="99">
        <v>1400</v>
      </c>
      <c r="D52" s="99">
        <v>1390</v>
      </c>
      <c r="E52" s="100">
        <v>1410</v>
      </c>
    </row>
    <row r="53" spans="2:5" x14ac:dyDescent="0.2">
      <c r="B53" s="78"/>
      <c r="C53" s="99"/>
      <c r="D53" s="99"/>
      <c r="E53" s="100"/>
    </row>
    <row r="54" spans="2:5" x14ac:dyDescent="0.2">
      <c r="B54" s="78"/>
      <c r="C54" s="99"/>
      <c r="D54" s="99"/>
      <c r="E54" s="100"/>
    </row>
    <row r="55" spans="2:5" x14ac:dyDescent="0.2">
      <c r="B55" s="78" t="s">
        <v>116</v>
      </c>
      <c r="C55" s="99"/>
      <c r="D55" s="99"/>
      <c r="E55" s="100"/>
    </row>
    <row r="56" spans="2:5" x14ac:dyDescent="0.2">
      <c r="B56" s="101" t="s">
        <v>109</v>
      </c>
      <c r="C56" s="102">
        <v>59</v>
      </c>
      <c r="D56" s="102">
        <v>59</v>
      </c>
      <c r="E56" s="103">
        <v>59</v>
      </c>
    </row>
    <row r="57" spans="2:5" x14ac:dyDescent="0.2">
      <c r="B57" s="101" t="s">
        <v>110</v>
      </c>
      <c r="C57" s="104">
        <v>0.6</v>
      </c>
      <c r="D57" s="104">
        <v>0.6</v>
      </c>
      <c r="E57" s="105">
        <v>0.6</v>
      </c>
    </row>
    <row r="58" spans="2:5" x14ac:dyDescent="0.2">
      <c r="B58" s="101" t="s">
        <v>67</v>
      </c>
      <c r="C58" s="99">
        <v>340400</v>
      </c>
      <c r="D58" s="99">
        <v>342200</v>
      </c>
      <c r="E58" s="100">
        <v>343500</v>
      </c>
    </row>
    <row r="59" spans="2:5" x14ac:dyDescent="0.2">
      <c r="B59" s="101" t="s">
        <v>71</v>
      </c>
      <c r="C59" s="99">
        <v>9340</v>
      </c>
      <c r="D59" s="99">
        <v>9230</v>
      </c>
      <c r="E59" s="100">
        <v>9340</v>
      </c>
    </row>
    <row r="60" spans="2:5" x14ac:dyDescent="0.2">
      <c r="B60" s="101" t="s">
        <v>111</v>
      </c>
      <c r="C60" s="99">
        <v>3180</v>
      </c>
      <c r="D60" s="99">
        <v>3160</v>
      </c>
      <c r="E60" s="100">
        <v>3210</v>
      </c>
    </row>
    <row r="61" spans="2:5" x14ac:dyDescent="0.2">
      <c r="B61" s="78"/>
      <c r="C61" s="99"/>
      <c r="D61" s="99"/>
      <c r="E61" s="100"/>
    </row>
    <row r="62" spans="2:5" ht="15" customHeight="1" x14ac:dyDescent="0.2">
      <c r="B62" s="101" t="s">
        <v>112</v>
      </c>
      <c r="C62" s="99">
        <v>101100</v>
      </c>
      <c r="D62" s="99">
        <v>100200</v>
      </c>
      <c r="E62" s="100">
        <v>102000</v>
      </c>
    </row>
    <row r="63" spans="2:5" ht="15" customHeight="1" x14ac:dyDescent="0.2">
      <c r="B63" s="101" t="s">
        <v>113</v>
      </c>
      <c r="C63" s="99">
        <v>13470</v>
      </c>
      <c r="D63" s="99">
        <v>13170</v>
      </c>
      <c r="E63" s="100">
        <v>13430</v>
      </c>
    </row>
    <row r="64" spans="2:5" ht="15" customHeight="1" x14ac:dyDescent="0.2">
      <c r="B64" s="101" t="s">
        <v>114</v>
      </c>
      <c r="C64" s="99">
        <v>1360</v>
      </c>
      <c r="D64" s="99">
        <v>1320</v>
      </c>
      <c r="E64" s="100">
        <v>1370</v>
      </c>
    </row>
    <row r="65" spans="2:5" ht="15" customHeight="1" x14ac:dyDescent="0.2">
      <c r="B65" s="78"/>
      <c r="C65" s="99"/>
      <c r="D65" s="99"/>
      <c r="E65" s="100"/>
    </row>
    <row r="66" spans="2:5" ht="15" customHeight="1" x14ac:dyDescent="0.2">
      <c r="B66" s="78"/>
      <c r="C66" s="99"/>
      <c r="D66" s="99"/>
      <c r="E66" s="100"/>
    </row>
    <row r="67" spans="2:5" ht="15" customHeight="1" x14ac:dyDescent="0.2">
      <c r="B67" s="78" t="s">
        <v>117</v>
      </c>
      <c r="C67" s="99"/>
      <c r="D67" s="99"/>
      <c r="E67" s="100"/>
    </row>
    <row r="68" spans="2:5" ht="15" customHeight="1" x14ac:dyDescent="0.2">
      <c r="B68" s="101" t="s">
        <v>109</v>
      </c>
      <c r="C68" s="102">
        <v>91.6</v>
      </c>
      <c r="D68" s="102">
        <v>92.3</v>
      </c>
      <c r="E68" s="103">
        <v>91.2</v>
      </c>
    </row>
    <row r="69" spans="2:5" ht="15" customHeight="1" x14ac:dyDescent="0.2">
      <c r="B69" s="101" t="s">
        <v>110</v>
      </c>
      <c r="C69" s="104">
        <v>0.34200000000000003</v>
      </c>
      <c r="D69" s="104">
        <v>0.35799999999999998</v>
      </c>
      <c r="E69" s="105">
        <v>0.36</v>
      </c>
    </row>
    <row r="70" spans="2:5" ht="15" customHeight="1" x14ac:dyDescent="0.2">
      <c r="B70" s="101" t="s">
        <v>67</v>
      </c>
      <c r="C70" s="99">
        <v>332000</v>
      </c>
      <c r="D70" s="99">
        <v>333200</v>
      </c>
      <c r="E70" s="100">
        <v>334900</v>
      </c>
    </row>
    <row r="71" spans="2:5" ht="15" customHeight="1" x14ac:dyDescent="0.2">
      <c r="B71" s="101" t="s">
        <v>71</v>
      </c>
      <c r="C71" s="99">
        <v>9440</v>
      </c>
      <c r="D71" s="99">
        <v>9300</v>
      </c>
      <c r="E71" s="100">
        <v>9440</v>
      </c>
    </row>
    <row r="72" spans="2:5" ht="15" customHeight="1" x14ac:dyDescent="0.2">
      <c r="B72" s="101" t="s">
        <v>111</v>
      </c>
      <c r="C72" s="99">
        <v>3130</v>
      </c>
      <c r="D72" s="99">
        <v>3100</v>
      </c>
      <c r="E72" s="100">
        <v>3160</v>
      </c>
    </row>
    <row r="73" spans="2:5" ht="15" customHeight="1" x14ac:dyDescent="0.2">
      <c r="B73" s="78"/>
      <c r="C73" s="99"/>
      <c r="D73" s="99"/>
      <c r="E73" s="100"/>
    </row>
    <row r="74" spans="2:5" ht="15" customHeight="1" x14ac:dyDescent="0.2">
      <c r="B74" s="101" t="s">
        <v>112</v>
      </c>
      <c r="C74" s="99">
        <v>124700</v>
      </c>
      <c r="D74" s="99">
        <v>125200</v>
      </c>
      <c r="E74" s="100">
        <v>126200</v>
      </c>
    </row>
    <row r="75" spans="2:5" ht="15" customHeight="1" x14ac:dyDescent="0.2">
      <c r="B75" s="101" t="s">
        <v>113</v>
      </c>
      <c r="C75" s="99">
        <v>12160</v>
      </c>
      <c r="D75" s="99">
        <v>12060</v>
      </c>
      <c r="E75" s="100">
        <v>12120</v>
      </c>
    </row>
    <row r="76" spans="2:5" ht="15" customHeight="1" x14ac:dyDescent="0.2">
      <c r="B76" s="101" t="s">
        <v>114</v>
      </c>
      <c r="C76" s="99">
        <v>1520</v>
      </c>
      <c r="D76" s="99">
        <v>1510</v>
      </c>
      <c r="E76" s="100">
        <v>1530</v>
      </c>
    </row>
    <row r="77" spans="2:5" ht="15" customHeight="1" x14ac:dyDescent="0.2">
      <c r="B77" s="78"/>
      <c r="C77" s="99"/>
      <c r="D77" s="99"/>
      <c r="E77" s="100"/>
    </row>
    <row r="78" spans="2:5" ht="15" customHeight="1" x14ac:dyDescent="0.2">
      <c r="B78" s="78"/>
      <c r="C78" s="99"/>
      <c r="D78" s="99"/>
      <c r="E78" s="100"/>
    </row>
    <row r="79" spans="2:5" ht="15" customHeight="1" x14ac:dyDescent="0.2">
      <c r="B79" s="78" t="s">
        <v>118</v>
      </c>
      <c r="C79" s="99"/>
      <c r="D79" s="99"/>
      <c r="E79" s="100"/>
    </row>
    <row r="80" spans="2:5" ht="15" customHeight="1" x14ac:dyDescent="0.2">
      <c r="B80" s="101" t="s">
        <v>109</v>
      </c>
      <c r="C80" s="102">
        <v>11.4</v>
      </c>
      <c r="D80" s="102">
        <v>10.9</v>
      </c>
      <c r="E80" s="103">
        <v>13.1</v>
      </c>
    </row>
    <row r="81" spans="2:5" ht="15" customHeight="1" x14ac:dyDescent="0.2">
      <c r="B81" s="101" t="s">
        <v>110</v>
      </c>
      <c r="C81" s="104">
        <v>0.73299999999999998</v>
      </c>
      <c r="D81" s="104">
        <v>0.61699999999999999</v>
      </c>
      <c r="E81" s="105">
        <v>0.6984999999999999</v>
      </c>
    </row>
    <row r="82" spans="2:5" ht="15" customHeight="1" x14ac:dyDescent="0.2">
      <c r="B82" s="101" t="s">
        <v>67</v>
      </c>
      <c r="C82" s="99">
        <v>344800</v>
      </c>
      <c r="D82" s="99">
        <v>346600</v>
      </c>
      <c r="E82" s="100">
        <v>348600</v>
      </c>
    </row>
    <row r="83" spans="2:5" ht="15" customHeight="1" x14ac:dyDescent="0.2">
      <c r="B83" s="101" t="s">
        <v>71</v>
      </c>
      <c r="C83" s="99">
        <v>9250</v>
      </c>
      <c r="D83" s="99">
        <v>9150</v>
      </c>
      <c r="E83" s="100">
        <v>9240</v>
      </c>
    </row>
    <row r="84" spans="2:5" ht="15" customHeight="1" x14ac:dyDescent="0.2">
      <c r="B84" s="101" t="s">
        <v>111</v>
      </c>
      <c r="C84" s="99">
        <v>3190</v>
      </c>
      <c r="D84" s="99">
        <v>3170</v>
      </c>
      <c r="E84" s="100">
        <v>3220</v>
      </c>
    </row>
    <row r="85" spans="2:5" ht="15" customHeight="1" x14ac:dyDescent="0.2">
      <c r="B85" s="78"/>
      <c r="C85" s="99"/>
      <c r="D85" s="99"/>
      <c r="E85" s="100"/>
    </row>
    <row r="86" spans="2:5" ht="15" customHeight="1" x14ac:dyDescent="0.2">
      <c r="B86" s="101" t="s">
        <v>112</v>
      </c>
      <c r="C86" s="99">
        <v>103400</v>
      </c>
      <c r="D86" s="99">
        <v>104000</v>
      </c>
      <c r="E86" s="100">
        <v>104600</v>
      </c>
    </row>
    <row r="87" spans="2:5" x14ac:dyDescent="0.2">
      <c r="B87" s="101" t="s">
        <v>113</v>
      </c>
      <c r="C87" s="99">
        <v>13650</v>
      </c>
      <c r="D87" s="99">
        <v>13460</v>
      </c>
      <c r="E87" s="100">
        <v>13580</v>
      </c>
    </row>
    <row r="88" spans="2:5" x14ac:dyDescent="0.2">
      <c r="B88" s="101" t="s">
        <v>114</v>
      </c>
      <c r="C88" s="99">
        <v>1410</v>
      </c>
      <c r="D88" s="99">
        <v>1400</v>
      </c>
      <c r="E88" s="100">
        <v>1420</v>
      </c>
    </row>
    <row r="89" spans="2:5" x14ac:dyDescent="0.2">
      <c r="B89" s="78"/>
      <c r="C89" s="99"/>
      <c r="D89" s="99"/>
      <c r="E89" s="100"/>
    </row>
    <row r="90" spans="2:5" x14ac:dyDescent="0.2">
      <c r="B90" s="78"/>
      <c r="C90" s="99"/>
      <c r="D90" s="99"/>
      <c r="E90" s="100"/>
    </row>
    <row r="91" spans="2:5" x14ac:dyDescent="0.2">
      <c r="B91" s="78" t="s">
        <v>119</v>
      </c>
      <c r="C91" s="99"/>
      <c r="D91" s="99"/>
      <c r="E91" s="100"/>
    </row>
    <row r="92" spans="2:5" ht="15" customHeight="1" x14ac:dyDescent="0.2">
      <c r="B92" s="101" t="s">
        <v>109</v>
      </c>
      <c r="C92" s="102">
        <v>90</v>
      </c>
      <c r="D92" s="102">
        <v>90</v>
      </c>
      <c r="E92" s="103">
        <v>90</v>
      </c>
    </row>
    <row r="93" spans="2:5" ht="15" customHeight="1" x14ac:dyDescent="0.2">
      <c r="B93" s="101" t="s">
        <v>110</v>
      </c>
      <c r="C93" s="104">
        <v>0.7</v>
      </c>
      <c r="D93" s="104">
        <v>0.7</v>
      </c>
      <c r="E93" s="105">
        <v>0.7</v>
      </c>
    </row>
    <row r="94" spans="2:5" ht="15" customHeight="1" x14ac:dyDescent="0.2">
      <c r="B94" s="101" t="s">
        <v>67</v>
      </c>
      <c r="C94" s="99">
        <v>326700</v>
      </c>
      <c r="D94" s="99">
        <v>328500</v>
      </c>
      <c r="E94" s="100">
        <v>329900</v>
      </c>
    </row>
    <row r="95" spans="2:5" ht="15" customHeight="1" x14ac:dyDescent="0.2">
      <c r="B95" s="101" t="s">
        <v>71</v>
      </c>
      <c r="C95" s="99">
        <v>9490</v>
      </c>
      <c r="D95" s="99">
        <v>9380</v>
      </c>
      <c r="E95" s="100">
        <v>9490</v>
      </c>
    </row>
    <row r="96" spans="2:5" ht="15" customHeight="1" x14ac:dyDescent="0.2">
      <c r="B96" s="101" t="s">
        <v>111</v>
      </c>
      <c r="C96" s="99">
        <v>3100</v>
      </c>
      <c r="D96" s="99">
        <v>3080</v>
      </c>
      <c r="E96" s="100">
        <v>3130</v>
      </c>
    </row>
    <row r="97" spans="2:5" ht="15" customHeight="1" x14ac:dyDescent="0.2">
      <c r="B97" s="78"/>
      <c r="C97" s="99"/>
      <c r="D97" s="99"/>
      <c r="E97" s="100"/>
    </row>
    <row r="98" spans="2:5" ht="15" customHeight="1" x14ac:dyDescent="0.2">
      <c r="B98" s="101" t="s">
        <v>112</v>
      </c>
      <c r="C98" s="99">
        <v>126700</v>
      </c>
      <c r="D98" s="99">
        <v>129400</v>
      </c>
      <c r="E98" s="100">
        <v>127900</v>
      </c>
    </row>
    <row r="99" spans="2:5" ht="15" customHeight="1" x14ac:dyDescent="0.2">
      <c r="B99" s="101" t="s">
        <v>113</v>
      </c>
      <c r="C99" s="99">
        <v>12190</v>
      </c>
      <c r="D99" s="99">
        <v>12060</v>
      </c>
      <c r="E99" s="100">
        <v>12200</v>
      </c>
    </row>
    <row r="100" spans="2:5" ht="15" customHeight="1" x14ac:dyDescent="0.2">
      <c r="B100" s="101" t="s">
        <v>114</v>
      </c>
      <c r="C100" s="99">
        <v>1540</v>
      </c>
      <c r="D100" s="99">
        <v>1560</v>
      </c>
      <c r="E100" s="100">
        <v>1560</v>
      </c>
    </row>
    <row r="101" spans="2:5" ht="15" customHeight="1" x14ac:dyDescent="0.2">
      <c r="B101" s="78"/>
      <c r="C101" s="99"/>
      <c r="D101" s="99"/>
      <c r="E101" s="100"/>
    </row>
    <row r="102" spans="2:5" ht="15" customHeight="1" x14ac:dyDescent="0.2">
      <c r="B102" s="78"/>
      <c r="C102" s="99"/>
      <c r="D102" s="99"/>
      <c r="E102" s="100"/>
    </row>
    <row r="103" spans="2:5" ht="15.75" x14ac:dyDescent="0.2">
      <c r="B103" s="107" t="s">
        <v>120</v>
      </c>
      <c r="C103" s="99"/>
      <c r="D103" s="99"/>
      <c r="E103" s="100"/>
    </row>
    <row r="104" spans="2:5" x14ac:dyDescent="0.2">
      <c r="B104" s="78"/>
      <c r="C104" s="99"/>
      <c r="D104" s="99"/>
      <c r="E104" s="100"/>
    </row>
    <row r="105" spans="2:5" x14ac:dyDescent="0.2">
      <c r="B105" s="78" t="s">
        <v>121</v>
      </c>
      <c r="C105" s="99" t="s">
        <v>122</v>
      </c>
      <c r="D105" s="99" t="s">
        <v>122</v>
      </c>
      <c r="E105" s="100" t="s">
        <v>122</v>
      </c>
    </row>
    <row r="106" spans="2:5" hidden="1" x14ac:dyDescent="0.2">
      <c r="B106" s="78"/>
      <c r="C106" s="99"/>
      <c r="D106" s="99"/>
      <c r="E106" s="100"/>
    </row>
    <row r="107" spans="2:5" ht="15.75" hidden="1" x14ac:dyDescent="0.2">
      <c r="B107" s="107"/>
      <c r="C107" s="99"/>
      <c r="D107" s="99"/>
      <c r="E107" s="100"/>
    </row>
    <row r="108" spans="2:5" hidden="1" x14ac:dyDescent="0.2">
      <c r="B108" s="78"/>
      <c r="C108" s="108"/>
      <c r="D108" s="108"/>
      <c r="E108" s="109"/>
    </row>
    <row r="109" spans="2:5" hidden="1" x14ac:dyDescent="0.2">
      <c r="B109" s="78"/>
      <c r="C109" s="108"/>
      <c r="D109" s="108"/>
      <c r="E109" s="109"/>
    </row>
    <row r="110" spans="2:5" ht="15" hidden="1" customHeight="1" x14ac:dyDescent="0.2">
      <c r="B110" s="78"/>
      <c r="C110" s="99"/>
      <c r="D110" s="99"/>
      <c r="E110" s="100"/>
    </row>
    <row r="111" spans="2:5" ht="15" hidden="1" customHeight="1" x14ac:dyDescent="0.2">
      <c r="B111" s="78"/>
      <c r="C111" s="99"/>
      <c r="D111" s="99"/>
      <c r="E111" s="100"/>
    </row>
    <row r="112" spans="2:5" ht="15" hidden="1" customHeight="1" x14ac:dyDescent="0.2">
      <c r="B112" s="78"/>
      <c r="C112" s="99"/>
      <c r="D112" s="99"/>
      <c r="E112" s="100"/>
    </row>
    <row r="113" spans="2:5" ht="15" hidden="1" customHeight="1" x14ac:dyDescent="0.2">
      <c r="B113" s="78"/>
      <c r="C113" s="99"/>
      <c r="D113" s="99"/>
      <c r="E113" s="100"/>
    </row>
    <row r="114" spans="2:5" ht="15" hidden="1" customHeight="1" x14ac:dyDescent="0.2">
      <c r="B114" s="78"/>
      <c r="C114" s="99"/>
      <c r="D114" s="99"/>
      <c r="E114" s="100"/>
    </row>
    <row r="115" spans="2:5" ht="15" hidden="1" customHeight="1" x14ac:dyDescent="0.2">
      <c r="B115" s="78"/>
      <c r="C115" s="99"/>
      <c r="D115" s="99"/>
      <c r="E115" s="100"/>
    </row>
    <row r="116" spans="2:5" hidden="1" x14ac:dyDescent="0.2">
      <c r="B116" s="78"/>
      <c r="C116" s="99"/>
      <c r="D116" s="99"/>
      <c r="E116" s="100"/>
    </row>
    <row r="117" spans="2:5" ht="15.75" hidden="1" x14ac:dyDescent="0.2">
      <c r="B117" s="107"/>
      <c r="C117" s="99"/>
      <c r="D117" s="99"/>
      <c r="E117" s="100"/>
    </row>
    <row r="118" spans="2:5" hidden="1" x14ac:dyDescent="0.2">
      <c r="B118" s="78"/>
      <c r="C118" s="108"/>
      <c r="D118" s="108"/>
      <c r="E118" s="109"/>
    </row>
    <row r="119" spans="2:5" ht="15.75" thickBot="1" x14ac:dyDescent="0.25">
      <c r="B119" s="110"/>
      <c r="C119" s="111"/>
      <c r="D119" s="111"/>
      <c r="E119" s="112"/>
    </row>
    <row r="120" spans="2:5" ht="17.25" thickTop="1" thickBot="1" x14ac:dyDescent="0.25">
      <c r="B120" s="113" t="s">
        <v>123</v>
      </c>
      <c r="C120" s="114"/>
      <c r="D120" s="114"/>
      <c r="E120" s="115"/>
    </row>
    <row r="121" spans="2:5" ht="15.75" thickTop="1" x14ac:dyDescent="0.2">
      <c r="B121" s="96"/>
      <c r="C121" s="116"/>
      <c r="D121" s="116"/>
      <c r="E121" s="117"/>
    </row>
    <row r="122" spans="2:5" s="118" customFormat="1" ht="15.75" x14ac:dyDescent="0.2">
      <c r="B122" s="119" t="s">
        <v>124</v>
      </c>
      <c r="C122" s="120">
        <v>206.14157773281713</v>
      </c>
      <c r="D122" s="120">
        <v>209.20782268452697</v>
      </c>
      <c r="E122" s="121">
        <v>213.05831853233866</v>
      </c>
    </row>
    <row r="123" spans="2:5" s="118" customFormat="1" ht="15.75" x14ac:dyDescent="0.2">
      <c r="B123" s="122" t="s">
        <v>125</v>
      </c>
      <c r="C123" s="123">
        <v>51.574746358966017</v>
      </c>
      <c r="D123" s="123">
        <v>52.341892935596299</v>
      </c>
      <c r="E123" s="124">
        <v>53.305251947840453</v>
      </c>
    </row>
    <row r="124" spans="2:5" s="118" customFormat="1" ht="15.75" x14ac:dyDescent="0.2">
      <c r="B124" s="122" t="s">
        <v>126</v>
      </c>
      <c r="C124" s="123">
        <v>33.182316394005497</v>
      </c>
      <c r="D124" s="123">
        <v>33.67588548010724</v>
      </c>
      <c r="E124" s="124">
        <v>34.29569431683543</v>
      </c>
    </row>
    <row r="125" spans="2:5" s="118" customFormat="1" ht="15.75" x14ac:dyDescent="0.2">
      <c r="B125" s="122" t="s">
        <v>127</v>
      </c>
      <c r="C125" s="123">
        <v>73.10028248522066</v>
      </c>
      <c r="D125" s="123">
        <v>74.187609819201711</v>
      </c>
      <c r="E125" s="124">
        <v>75.55304195219928</v>
      </c>
    </row>
    <row r="126" spans="2:5" s="118" customFormat="1" ht="15.75" x14ac:dyDescent="0.2">
      <c r="B126" s="122" t="s">
        <v>128</v>
      </c>
      <c r="C126" s="123">
        <v>48.284232494624973</v>
      </c>
      <c r="D126" s="123">
        <v>49.002434449621745</v>
      </c>
      <c r="E126" s="124">
        <v>49.904330315463518</v>
      </c>
    </row>
    <row r="127" spans="2:5" x14ac:dyDescent="0.2">
      <c r="B127" s="78"/>
      <c r="C127" s="81"/>
      <c r="D127" s="81"/>
      <c r="E127" s="82"/>
    </row>
    <row r="128" spans="2:5" s="118" customFormat="1" ht="15.75" x14ac:dyDescent="0.2">
      <c r="B128" s="107" t="s">
        <v>129</v>
      </c>
      <c r="C128" s="120">
        <v>78.848597841428415</v>
      </c>
      <c r="D128" s="120">
        <v>79.01639809641074</v>
      </c>
      <c r="E128" s="121">
        <v>79.227116481682231</v>
      </c>
    </row>
    <row r="129" spans="2:5" x14ac:dyDescent="0.2">
      <c r="B129" s="125" t="s">
        <v>130</v>
      </c>
      <c r="C129" s="126">
        <v>0.37</v>
      </c>
      <c r="D129" s="126">
        <v>0.37</v>
      </c>
      <c r="E129" s="127">
        <v>0.37</v>
      </c>
    </row>
    <row r="130" spans="2:5" x14ac:dyDescent="0.2">
      <c r="B130" s="125" t="s">
        <v>131</v>
      </c>
      <c r="C130" s="126">
        <v>0.44</v>
      </c>
      <c r="D130" s="126">
        <v>0.44</v>
      </c>
      <c r="E130" s="127">
        <v>0.44</v>
      </c>
    </row>
    <row r="131" spans="2:5" x14ac:dyDescent="0.2">
      <c r="B131" s="125" t="s">
        <v>132</v>
      </c>
      <c r="C131" s="126">
        <v>1.02</v>
      </c>
      <c r="D131" s="126">
        <v>1.02</v>
      </c>
      <c r="E131" s="127">
        <v>1.02</v>
      </c>
    </row>
    <row r="132" spans="2:5" x14ac:dyDescent="0.2">
      <c r="B132" s="125" t="s">
        <v>133</v>
      </c>
      <c r="C132" s="126">
        <v>1.1299999999999999</v>
      </c>
      <c r="D132" s="126">
        <v>1.1299999999999999</v>
      </c>
      <c r="E132" s="127">
        <v>1.1299999999999999</v>
      </c>
    </row>
    <row r="133" spans="2:5" x14ac:dyDescent="0.2">
      <c r="B133" s="125" t="s">
        <v>134</v>
      </c>
      <c r="C133" s="126">
        <v>1</v>
      </c>
      <c r="D133" s="126">
        <v>1</v>
      </c>
      <c r="E133" s="127">
        <v>1</v>
      </c>
    </row>
    <row r="134" spans="2:5" x14ac:dyDescent="0.2">
      <c r="B134" s="125" t="s">
        <v>135</v>
      </c>
      <c r="C134" s="126">
        <v>0.27</v>
      </c>
      <c r="D134" s="126">
        <v>0.27</v>
      </c>
      <c r="E134" s="127">
        <v>0.27</v>
      </c>
    </row>
    <row r="135" spans="2:5" x14ac:dyDescent="0.2">
      <c r="B135" s="125" t="s">
        <v>136</v>
      </c>
      <c r="C135" s="126">
        <v>0</v>
      </c>
      <c r="D135" s="126">
        <v>0</v>
      </c>
      <c r="E135" s="127">
        <v>0</v>
      </c>
    </row>
    <row r="136" spans="2:5" x14ac:dyDescent="0.2">
      <c r="B136" s="125" t="s">
        <v>137</v>
      </c>
      <c r="C136" s="126">
        <v>0.55000000000000004</v>
      </c>
      <c r="D136" s="126">
        <v>0.55000000000000004</v>
      </c>
      <c r="E136" s="127">
        <v>0.55000000000000004</v>
      </c>
    </row>
    <row r="137" spans="2:5" x14ac:dyDescent="0.2">
      <c r="B137" s="125" t="s">
        <v>138</v>
      </c>
      <c r="C137" s="126">
        <v>1</v>
      </c>
      <c r="D137" s="126">
        <v>1</v>
      </c>
      <c r="E137" s="127">
        <v>1</v>
      </c>
    </row>
    <row r="138" spans="2:5" x14ac:dyDescent="0.2">
      <c r="B138" s="125" t="s">
        <v>139</v>
      </c>
      <c r="C138" s="126">
        <v>10.25</v>
      </c>
      <c r="D138" s="126">
        <v>10.25</v>
      </c>
      <c r="E138" s="127">
        <v>10.25</v>
      </c>
    </row>
    <row r="139" spans="2:5" x14ac:dyDescent="0.2">
      <c r="B139" s="125" t="s">
        <v>140</v>
      </c>
      <c r="C139" s="126">
        <v>11</v>
      </c>
      <c r="D139" s="126">
        <v>11</v>
      </c>
      <c r="E139" s="127">
        <v>11</v>
      </c>
    </row>
    <row r="140" spans="2:5" x14ac:dyDescent="0.2">
      <c r="B140" s="125" t="s">
        <v>141</v>
      </c>
      <c r="C140" s="126">
        <v>17.899999999999999</v>
      </c>
      <c r="D140" s="126">
        <v>17.899999999999999</v>
      </c>
      <c r="E140" s="127">
        <v>17.899999999999999</v>
      </c>
    </row>
    <row r="141" spans="2:5" x14ac:dyDescent="0.2">
      <c r="B141" s="125" t="s">
        <v>142</v>
      </c>
      <c r="C141" s="126"/>
      <c r="D141" s="126"/>
      <c r="E141" s="127"/>
    </row>
    <row r="142" spans="2:5" x14ac:dyDescent="0.2">
      <c r="B142" s="125" t="s">
        <v>143</v>
      </c>
      <c r="C142" s="126">
        <v>0.1</v>
      </c>
      <c r="D142" s="126">
        <v>0.1</v>
      </c>
      <c r="E142" s="127">
        <v>0.1</v>
      </c>
    </row>
    <row r="143" spans="2:5" x14ac:dyDescent="0.2">
      <c r="B143" s="125" t="s">
        <v>144</v>
      </c>
      <c r="C143" s="126">
        <v>0.5</v>
      </c>
      <c r="D143" s="126">
        <v>0.5</v>
      </c>
      <c r="E143" s="127">
        <v>0.5</v>
      </c>
    </row>
    <row r="144" spans="2:5" x14ac:dyDescent="0.2">
      <c r="B144" s="125" t="s">
        <v>145</v>
      </c>
      <c r="C144" s="126">
        <v>4.5</v>
      </c>
      <c r="D144" s="126">
        <v>4.5</v>
      </c>
      <c r="E144" s="127">
        <v>4.5</v>
      </c>
    </row>
    <row r="145" spans="2:112" x14ac:dyDescent="0.2">
      <c r="B145" s="125" t="s">
        <v>146</v>
      </c>
      <c r="C145" s="126">
        <v>7.24</v>
      </c>
      <c r="D145" s="126">
        <v>7.24</v>
      </c>
      <c r="E145" s="127">
        <v>7.24</v>
      </c>
    </row>
    <row r="146" spans="2:112" x14ac:dyDescent="0.2">
      <c r="B146" s="125" t="s">
        <v>147</v>
      </c>
      <c r="C146" s="126">
        <v>0.57999999999999996</v>
      </c>
      <c r="D146" s="126">
        <v>0.57999999999999996</v>
      </c>
      <c r="E146" s="127">
        <v>0.57999999999999996</v>
      </c>
    </row>
    <row r="147" spans="2:112" x14ac:dyDescent="0.2">
      <c r="B147" s="125" t="s">
        <v>148</v>
      </c>
      <c r="C147" s="126">
        <v>6.5</v>
      </c>
      <c r="D147" s="126">
        <v>6.5</v>
      </c>
      <c r="E147" s="127">
        <v>6.5</v>
      </c>
    </row>
    <row r="148" spans="2:112" x14ac:dyDescent="0.2">
      <c r="B148" s="125"/>
      <c r="C148" s="126"/>
      <c r="D148" s="126"/>
      <c r="E148" s="127"/>
    </row>
    <row r="149" spans="2:112" x14ac:dyDescent="0.2">
      <c r="B149" s="125" t="s">
        <v>149</v>
      </c>
      <c r="C149" s="126">
        <v>0.92763709979767695</v>
      </c>
      <c r="D149" s="126">
        <v>0.94143520208037135</v>
      </c>
      <c r="E149" s="127">
        <v>0.95876243339552392</v>
      </c>
    </row>
    <row r="150" spans="2:112" x14ac:dyDescent="0.2">
      <c r="B150" s="125" t="s">
        <v>150</v>
      </c>
      <c r="C150" s="126">
        <v>13.57096074163074</v>
      </c>
      <c r="D150" s="126">
        <v>13.724962894330369</v>
      </c>
      <c r="E150" s="127">
        <v>13.918354048286711</v>
      </c>
    </row>
    <row r="151" spans="2:112" x14ac:dyDescent="0.2">
      <c r="B151" s="125"/>
      <c r="C151" s="128"/>
      <c r="D151" s="128"/>
      <c r="E151" s="129"/>
    </row>
    <row r="152" spans="2:112" ht="15.75" x14ac:dyDescent="0.2">
      <c r="B152" s="107" t="s">
        <v>351</v>
      </c>
      <c r="C152" s="120">
        <v>19.949312290197192</v>
      </c>
      <c r="D152" s="120">
        <v>20.175695454665643</v>
      </c>
      <c r="E152" s="121">
        <v>20.459980450981465</v>
      </c>
    </row>
    <row r="153" spans="2:112" x14ac:dyDescent="0.2">
      <c r="B153" s="125" t="s">
        <v>151</v>
      </c>
      <c r="C153" s="128">
        <v>14.429910441297201</v>
      </c>
      <c r="D153" s="128">
        <v>14.64454758791689</v>
      </c>
      <c r="E153" s="129">
        <v>14.914082297263707</v>
      </c>
    </row>
    <row r="154" spans="2:112" x14ac:dyDescent="0.2">
      <c r="B154" s="125" t="s">
        <v>152</v>
      </c>
      <c r="C154" s="128">
        <v>5.5194018488999896</v>
      </c>
      <c r="D154" s="128">
        <v>5.5311478667487526</v>
      </c>
      <c r="E154" s="129">
        <v>5.545898153717757</v>
      </c>
    </row>
    <row r="155" spans="2:112" hidden="1" x14ac:dyDescent="0.2">
      <c r="B155" s="125"/>
      <c r="C155" s="128"/>
      <c r="D155" s="128"/>
      <c r="E155" s="129"/>
    </row>
    <row r="156" spans="2:112" x14ac:dyDescent="0.2">
      <c r="B156" s="125"/>
      <c r="C156" s="128"/>
      <c r="D156" s="128"/>
      <c r="E156" s="129"/>
    </row>
    <row r="157" spans="2:112" s="130" customFormat="1" ht="15.75" x14ac:dyDescent="0.2">
      <c r="B157" s="131" t="s">
        <v>153</v>
      </c>
      <c r="C157" s="132">
        <v>304.93948786444275</v>
      </c>
      <c r="D157" s="132">
        <v>308.39991623560331</v>
      </c>
      <c r="E157" s="133">
        <v>312.74541546500234</v>
      </c>
      <c r="F157" s="276"/>
      <c r="G157" s="276"/>
      <c r="H157" s="276"/>
      <c r="I157" s="276"/>
      <c r="K157" s="277"/>
      <c r="L157" s="276"/>
      <c r="M157" s="276"/>
      <c r="N157" s="276"/>
      <c r="O157" s="276"/>
      <c r="P157" s="276"/>
      <c r="Q157" s="276"/>
      <c r="R157" s="276"/>
      <c r="T157" s="277"/>
      <c r="U157" s="276"/>
      <c r="V157" s="276"/>
      <c r="W157" s="276"/>
      <c r="X157" s="276"/>
      <c r="Y157" s="276"/>
      <c r="Z157" s="276"/>
      <c r="AA157" s="276"/>
      <c r="AC157" s="277"/>
      <c r="AD157" s="276"/>
      <c r="AE157" s="276"/>
      <c r="AF157" s="276"/>
      <c r="AG157" s="276"/>
      <c r="AH157" s="276"/>
      <c r="AI157" s="276"/>
      <c r="AJ157" s="276"/>
      <c r="AL157" s="277"/>
      <c r="AM157" s="276"/>
      <c r="AN157" s="276"/>
      <c r="AO157" s="276"/>
      <c r="AP157" s="276"/>
      <c r="AQ157" s="276"/>
      <c r="AR157" s="276"/>
      <c r="AS157" s="276"/>
      <c r="AU157" s="277"/>
      <c r="AV157" s="276"/>
      <c r="AW157" s="276"/>
      <c r="AX157" s="276"/>
      <c r="AY157" s="276"/>
      <c r="AZ157" s="276"/>
      <c r="BA157" s="276"/>
      <c r="BB157" s="276"/>
      <c r="BD157" s="277"/>
      <c r="BE157" s="276"/>
      <c r="BF157" s="276"/>
      <c r="BG157" s="276"/>
      <c r="BH157" s="276"/>
      <c r="BI157" s="276"/>
      <c r="BJ157" s="276"/>
      <c r="BK157" s="276"/>
      <c r="BM157" s="277"/>
      <c r="BN157" s="276"/>
      <c r="BO157" s="276"/>
      <c r="BP157" s="276"/>
      <c r="BQ157" s="276"/>
      <c r="BR157" s="276"/>
      <c r="BS157" s="276"/>
      <c r="BT157" s="276"/>
      <c r="BV157" s="277"/>
      <c r="BW157" s="276"/>
      <c r="BX157" s="276"/>
      <c r="BY157" s="276"/>
      <c r="BZ157" s="276"/>
      <c r="CA157" s="276"/>
      <c r="CB157" s="276"/>
      <c r="CC157" s="276"/>
      <c r="CE157" s="277"/>
      <c r="CF157" s="276"/>
      <c r="CG157" s="276"/>
      <c r="CH157" s="276"/>
      <c r="CI157" s="276"/>
      <c r="CJ157" s="276"/>
      <c r="CK157" s="276"/>
      <c r="CL157" s="276"/>
      <c r="CN157" s="277"/>
      <c r="CO157" s="276"/>
      <c r="CP157" s="276"/>
      <c r="CQ157" s="276"/>
      <c r="CR157" s="276"/>
      <c r="CS157" s="276"/>
      <c r="CT157" s="276"/>
      <c r="CU157" s="276"/>
      <c r="CW157" s="277"/>
      <c r="CX157" s="276"/>
      <c r="CY157" s="276"/>
      <c r="CZ157" s="276"/>
      <c r="DA157" s="276"/>
      <c r="DB157" s="276"/>
      <c r="DC157" s="276"/>
      <c r="DD157" s="276"/>
      <c r="DF157" s="277"/>
      <c r="DG157" s="276"/>
      <c r="DH157" s="276"/>
    </row>
    <row r="158" spans="2:112" x14ac:dyDescent="0.2">
      <c r="B158" s="85"/>
      <c r="C158" s="134"/>
      <c r="D158" s="134"/>
      <c r="E158" s="135"/>
    </row>
    <row r="159" spans="2:112" ht="15.75" x14ac:dyDescent="0.2">
      <c r="B159" s="131" t="s">
        <v>154</v>
      </c>
      <c r="C159" s="132">
        <v>630</v>
      </c>
      <c r="D159" s="132">
        <v>640</v>
      </c>
      <c r="E159" s="133">
        <v>650</v>
      </c>
    </row>
    <row r="160" spans="2:112" s="130" customFormat="1" ht="15.75" x14ac:dyDescent="0.2">
      <c r="B160" s="131" t="s">
        <v>155</v>
      </c>
      <c r="C160" s="132">
        <v>930</v>
      </c>
      <c r="D160" s="132">
        <v>940</v>
      </c>
      <c r="E160" s="133">
        <v>950</v>
      </c>
      <c r="F160" s="276"/>
      <c r="G160" s="276"/>
      <c r="H160" s="276"/>
      <c r="I160" s="276"/>
      <c r="K160" s="277"/>
      <c r="L160" s="276"/>
      <c r="M160" s="276"/>
      <c r="N160" s="276"/>
      <c r="O160" s="276"/>
      <c r="P160" s="276"/>
      <c r="Q160" s="276"/>
      <c r="R160" s="276"/>
      <c r="T160" s="277"/>
      <c r="U160" s="276"/>
      <c r="V160" s="276"/>
      <c r="W160" s="276"/>
      <c r="X160" s="276"/>
      <c r="Y160" s="276"/>
      <c r="Z160" s="276"/>
      <c r="AA160" s="276"/>
      <c r="AC160" s="277"/>
      <c r="AD160" s="276"/>
      <c r="AE160" s="276"/>
      <c r="AF160" s="276"/>
      <c r="AG160" s="276"/>
      <c r="AH160" s="276"/>
      <c r="AI160" s="276"/>
      <c r="AJ160" s="276"/>
      <c r="AL160" s="277"/>
      <c r="AM160" s="276"/>
      <c r="AN160" s="276"/>
      <c r="AO160" s="276"/>
      <c r="AP160" s="276"/>
      <c r="AQ160" s="276"/>
      <c r="AR160" s="276"/>
      <c r="AS160" s="276"/>
      <c r="AU160" s="277"/>
      <c r="AV160" s="276"/>
      <c r="AW160" s="276"/>
      <c r="AX160" s="276"/>
      <c r="AY160" s="276"/>
      <c r="AZ160" s="276"/>
      <c r="BA160" s="276"/>
      <c r="BB160" s="276"/>
      <c r="BD160" s="277"/>
      <c r="BE160" s="276"/>
      <c r="BF160" s="276"/>
      <c r="BG160" s="276"/>
      <c r="BH160" s="276"/>
      <c r="BI160" s="276"/>
      <c r="BJ160" s="276"/>
      <c r="BK160" s="276"/>
      <c r="BM160" s="277"/>
      <c r="BN160" s="276"/>
      <c r="BO160" s="276"/>
      <c r="BP160" s="276"/>
      <c r="BQ160" s="276"/>
      <c r="BR160" s="276"/>
      <c r="BS160" s="276"/>
      <c r="BT160" s="276"/>
      <c r="BV160" s="277"/>
      <c r="BW160" s="276"/>
      <c r="BX160" s="276"/>
      <c r="BY160" s="276"/>
      <c r="BZ160" s="276"/>
      <c r="CA160" s="276"/>
      <c r="CB160" s="276"/>
      <c r="CC160" s="276"/>
      <c r="CE160" s="277"/>
      <c r="CF160" s="276"/>
      <c r="CG160" s="276"/>
      <c r="CH160" s="276"/>
      <c r="CI160" s="276"/>
      <c r="CJ160" s="276"/>
      <c r="CK160" s="276"/>
      <c r="CL160" s="276"/>
      <c r="CN160" s="277"/>
      <c r="CO160" s="276"/>
      <c r="CP160" s="276"/>
      <c r="CQ160" s="276"/>
      <c r="CR160" s="276"/>
      <c r="CS160" s="276"/>
      <c r="CT160" s="276"/>
      <c r="CU160" s="276"/>
      <c r="CW160" s="277"/>
      <c r="CX160" s="276"/>
      <c r="CY160" s="276"/>
      <c r="CZ160" s="276"/>
      <c r="DA160" s="276"/>
      <c r="DB160" s="276"/>
      <c r="DC160" s="276"/>
      <c r="DD160" s="276"/>
      <c r="DF160" s="277"/>
      <c r="DG160" s="276"/>
      <c r="DH160" s="276"/>
    </row>
    <row r="161" spans="2:112" x14ac:dyDescent="0.2">
      <c r="B161" s="85"/>
      <c r="C161" s="126"/>
      <c r="D161" s="126"/>
      <c r="E161" s="127"/>
      <c r="F161" s="278"/>
      <c r="G161" s="278"/>
      <c r="H161" s="278"/>
      <c r="I161" s="278"/>
      <c r="K161" s="279"/>
      <c r="L161" s="278"/>
      <c r="M161" s="278"/>
      <c r="N161" s="278"/>
      <c r="O161" s="278"/>
      <c r="P161" s="278"/>
      <c r="Q161" s="278"/>
      <c r="R161" s="278"/>
      <c r="T161" s="279"/>
      <c r="U161" s="278"/>
      <c r="V161" s="278"/>
      <c r="W161" s="278"/>
      <c r="X161" s="278"/>
      <c r="Y161" s="278"/>
      <c r="Z161" s="278"/>
      <c r="AA161" s="278"/>
      <c r="AC161" s="279"/>
      <c r="AD161" s="278"/>
      <c r="AE161" s="278"/>
      <c r="AF161" s="278"/>
      <c r="AG161" s="278"/>
      <c r="AH161" s="278"/>
      <c r="AI161" s="278"/>
      <c r="AJ161" s="278"/>
      <c r="AL161" s="279"/>
      <c r="AM161" s="278"/>
      <c r="AN161" s="278"/>
      <c r="AO161" s="278"/>
      <c r="AP161" s="278"/>
      <c r="AQ161" s="278"/>
      <c r="AR161" s="278"/>
      <c r="AS161" s="278"/>
      <c r="AU161" s="279"/>
      <c r="AV161" s="278"/>
      <c r="AW161" s="278"/>
      <c r="AX161" s="278"/>
      <c r="AY161" s="278"/>
      <c r="AZ161" s="278"/>
      <c r="BA161" s="278"/>
      <c r="BB161" s="278"/>
      <c r="BD161" s="279"/>
      <c r="BE161" s="278"/>
      <c r="BF161" s="278"/>
      <c r="BG161" s="278"/>
      <c r="BH161" s="278"/>
      <c r="BI161" s="278"/>
      <c r="BJ161" s="278"/>
      <c r="BK161" s="278"/>
      <c r="BM161" s="279"/>
      <c r="BN161" s="278"/>
      <c r="BO161" s="278"/>
      <c r="BP161" s="278"/>
      <c r="BQ161" s="278"/>
      <c r="BR161" s="278"/>
      <c r="BS161" s="278"/>
      <c r="BT161" s="278"/>
      <c r="BV161" s="279"/>
      <c r="BW161" s="278"/>
      <c r="BX161" s="278"/>
      <c r="BY161" s="278"/>
      <c r="BZ161" s="278"/>
      <c r="CA161" s="278"/>
      <c r="CB161" s="278"/>
      <c r="CC161" s="278"/>
      <c r="CE161" s="279"/>
      <c r="CF161" s="278"/>
      <c r="CG161" s="278"/>
      <c r="CH161" s="278"/>
      <c r="CI161" s="278"/>
      <c r="CJ161" s="278"/>
      <c r="CK161" s="278"/>
      <c r="CL161" s="278"/>
      <c r="CN161" s="279"/>
      <c r="CO161" s="278"/>
      <c r="CP161" s="278"/>
      <c r="CQ161" s="278"/>
      <c r="CR161" s="278"/>
      <c r="CS161" s="278"/>
      <c r="CT161" s="278"/>
      <c r="CU161" s="278"/>
      <c r="CW161" s="279"/>
      <c r="CX161" s="278"/>
      <c r="CY161" s="278"/>
      <c r="CZ161" s="278"/>
      <c r="DA161" s="278"/>
      <c r="DB161" s="278"/>
      <c r="DC161" s="278"/>
      <c r="DD161" s="278"/>
      <c r="DF161" s="279"/>
      <c r="DG161" s="278"/>
      <c r="DH161" s="278"/>
    </row>
    <row r="162" spans="2:112" ht="15" hidden="1" customHeight="1" x14ac:dyDescent="0.2">
      <c r="B162" s="85"/>
      <c r="C162" s="126"/>
      <c r="D162" s="126"/>
      <c r="E162" s="127"/>
      <c r="F162" s="278"/>
      <c r="G162" s="278"/>
      <c r="H162" s="278"/>
      <c r="I162" s="278"/>
      <c r="K162" s="279"/>
      <c r="L162" s="278"/>
      <c r="M162" s="278"/>
      <c r="N162" s="278"/>
      <c r="O162" s="278"/>
      <c r="P162" s="278"/>
      <c r="Q162" s="278"/>
      <c r="R162" s="278"/>
      <c r="T162" s="279"/>
      <c r="U162" s="278"/>
      <c r="V162" s="278"/>
      <c r="W162" s="278"/>
      <c r="X162" s="278"/>
      <c r="Y162" s="278"/>
      <c r="Z162" s="278"/>
      <c r="AA162" s="278"/>
      <c r="AC162" s="279"/>
      <c r="AD162" s="278"/>
      <c r="AE162" s="278"/>
      <c r="AF162" s="278"/>
      <c r="AG162" s="278"/>
      <c r="AH162" s="278"/>
      <c r="AI162" s="278"/>
      <c r="AJ162" s="278"/>
      <c r="AL162" s="279"/>
      <c r="AM162" s="278"/>
      <c r="AN162" s="278"/>
      <c r="AO162" s="278"/>
      <c r="AP162" s="278"/>
      <c r="AQ162" s="278"/>
      <c r="AR162" s="278"/>
      <c r="AS162" s="278"/>
      <c r="AU162" s="279"/>
      <c r="AV162" s="278"/>
      <c r="AW162" s="278"/>
      <c r="AX162" s="278"/>
      <c r="AY162" s="278"/>
      <c r="AZ162" s="278"/>
      <c r="BA162" s="278"/>
      <c r="BB162" s="278"/>
      <c r="BD162" s="279"/>
      <c r="BE162" s="278"/>
      <c r="BF162" s="278"/>
      <c r="BG162" s="278"/>
      <c r="BH162" s="278"/>
      <c r="BI162" s="278"/>
      <c r="BJ162" s="278"/>
      <c r="BK162" s="278"/>
      <c r="BM162" s="279"/>
      <c r="BN162" s="278"/>
      <c r="BO162" s="278"/>
      <c r="BP162" s="278"/>
      <c r="BQ162" s="278"/>
      <c r="BR162" s="278"/>
      <c r="BS162" s="278"/>
      <c r="BT162" s="278"/>
      <c r="BV162" s="279"/>
      <c r="BW162" s="278"/>
      <c r="BX162" s="278"/>
      <c r="BY162" s="278"/>
      <c r="BZ162" s="278"/>
      <c r="CA162" s="278"/>
      <c r="CB162" s="278"/>
      <c r="CC162" s="278"/>
      <c r="CE162" s="279"/>
      <c r="CF162" s="278"/>
      <c r="CG162" s="278"/>
      <c r="CH162" s="278"/>
      <c r="CI162" s="278"/>
      <c r="CJ162" s="278"/>
      <c r="CK162" s="278"/>
      <c r="CL162" s="278"/>
      <c r="CN162" s="279"/>
      <c r="CO162" s="278"/>
      <c r="CP162" s="278"/>
      <c r="CQ162" s="278"/>
      <c r="CR162" s="278"/>
      <c r="CS162" s="278"/>
      <c r="CT162" s="278"/>
      <c r="CU162" s="278"/>
      <c r="CW162" s="279"/>
      <c r="CX162" s="278"/>
      <c r="CY162" s="278"/>
      <c r="CZ162" s="278"/>
      <c r="DA162" s="278"/>
      <c r="DB162" s="278"/>
      <c r="DC162" s="278"/>
      <c r="DD162" s="278"/>
      <c r="DF162" s="279"/>
      <c r="DG162" s="278"/>
      <c r="DH162" s="278"/>
    </row>
    <row r="163" spans="2:112" ht="15" hidden="1" customHeight="1" x14ac:dyDescent="0.2">
      <c r="B163" s="85"/>
      <c r="C163" s="126"/>
      <c r="D163" s="126"/>
      <c r="E163" s="127"/>
      <c r="F163" s="278"/>
      <c r="G163" s="278"/>
      <c r="H163" s="278"/>
      <c r="I163" s="278"/>
      <c r="K163" s="279"/>
      <c r="L163" s="278"/>
      <c r="M163" s="278"/>
      <c r="N163" s="278"/>
      <c r="O163" s="278"/>
      <c r="P163" s="278"/>
      <c r="Q163" s="278"/>
      <c r="R163" s="278"/>
      <c r="T163" s="279"/>
      <c r="U163" s="278"/>
      <c r="V163" s="278"/>
      <c r="W163" s="278"/>
      <c r="X163" s="278"/>
      <c r="Y163" s="278"/>
      <c r="Z163" s="278"/>
      <c r="AA163" s="278"/>
      <c r="AC163" s="279"/>
      <c r="AD163" s="278"/>
      <c r="AE163" s="278"/>
      <c r="AF163" s="278"/>
      <c r="AG163" s="278"/>
      <c r="AH163" s="278"/>
      <c r="AI163" s="278"/>
      <c r="AJ163" s="278"/>
      <c r="AL163" s="279"/>
      <c r="AM163" s="278"/>
      <c r="AN163" s="278"/>
      <c r="AO163" s="278"/>
      <c r="AP163" s="278"/>
      <c r="AQ163" s="278"/>
      <c r="AR163" s="278"/>
      <c r="AS163" s="278"/>
      <c r="AU163" s="279"/>
      <c r="AV163" s="278"/>
      <c r="AW163" s="278"/>
      <c r="AX163" s="278"/>
      <c r="AY163" s="278"/>
      <c r="AZ163" s="278"/>
      <c r="BA163" s="278"/>
      <c r="BB163" s="278"/>
      <c r="BD163" s="279"/>
      <c r="BE163" s="278"/>
      <c r="BF163" s="278"/>
      <c r="BG163" s="278"/>
      <c r="BH163" s="278"/>
      <c r="BI163" s="278"/>
      <c r="BJ163" s="278"/>
      <c r="BK163" s="278"/>
      <c r="BM163" s="279"/>
      <c r="BN163" s="278"/>
      <c r="BO163" s="278"/>
      <c r="BP163" s="278"/>
      <c r="BQ163" s="278"/>
      <c r="BR163" s="278"/>
      <c r="BS163" s="278"/>
      <c r="BT163" s="278"/>
      <c r="BV163" s="279"/>
      <c r="BW163" s="278"/>
      <c r="BX163" s="278"/>
      <c r="BY163" s="278"/>
      <c r="BZ163" s="278"/>
      <c r="CA163" s="278"/>
      <c r="CB163" s="278"/>
      <c r="CC163" s="278"/>
      <c r="CE163" s="279"/>
      <c r="CF163" s="278"/>
      <c r="CG163" s="278"/>
      <c r="CH163" s="278"/>
      <c r="CI163" s="278"/>
      <c r="CJ163" s="278"/>
      <c r="CK163" s="278"/>
      <c r="CL163" s="278"/>
      <c r="CN163" s="279"/>
      <c r="CO163" s="278"/>
      <c r="CP163" s="278"/>
      <c r="CQ163" s="278"/>
      <c r="CR163" s="278"/>
      <c r="CS163" s="278"/>
      <c r="CT163" s="278"/>
      <c r="CU163" s="278"/>
      <c r="CW163" s="279"/>
      <c r="CX163" s="278"/>
      <c r="CY163" s="278"/>
      <c r="CZ163" s="278"/>
      <c r="DA163" s="278"/>
      <c r="DB163" s="278"/>
      <c r="DC163" s="278"/>
      <c r="DD163" s="278"/>
      <c r="DF163" s="279"/>
      <c r="DG163" s="278"/>
      <c r="DH163" s="278"/>
    </row>
    <row r="164" spans="2:112" ht="15" hidden="1" customHeight="1" x14ac:dyDescent="0.2">
      <c r="B164" s="85"/>
      <c r="C164" s="126"/>
      <c r="D164" s="126"/>
      <c r="E164" s="127"/>
      <c r="F164" s="278"/>
      <c r="G164" s="278"/>
      <c r="H164" s="278"/>
      <c r="I164" s="278"/>
      <c r="K164" s="279"/>
      <c r="L164" s="278"/>
      <c r="M164" s="278"/>
      <c r="N164" s="278"/>
      <c r="O164" s="278"/>
      <c r="P164" s="278"/>
      <c r="Q164" s="278"/>
      <c r="R164" s="278"/>
      <c r="T164" s="279"/>
      <c r="U164" s="278"/>
      <c r="V164" s="278"/>
      <c r="W164" s="278"/>
      <c r="X164" s="278"/>
      <c r="Y164" s="278"/>
      <c r="Z164" s="278"/>
      <c r="AA164" s="278"/>
      <c r="AC164" s="279"/>
      <c r="AD164" s="278"/>
      <c r="AE164" s="278"/>
      <c r="AF164" s="278"/>
      <c r="AG164" s="278"/>
      <c r="AH164" s="278"/>
      <c r="AI164" s="278"/>
      <c r="AJ164" s="278"/>
      <c r="AL164" s="279"/>
      <c r="AM164" s="278"/>
      <c r="AN164" s="278"/>
      <c r="AO164" s="278"/>
      <c r="AP164" s="278"/>
      <c r="AQ164" s="278"/>
      <c r="AR164" s="278"/>
      <c r="AS164" s="278"/>
      <c r="AU164" s="279"/>
      <c r="AV164" s="278"/>
      <c r="AW164" s="278"/>
      <c r="AX164" s="278"/>
      <c r="AY164" s="278"/>
      <c r="AZ164" s="278"/>
      <c r="BA164" s="278"/>
      <c r="BB164" s="278"/>
      <c r="BD164" s="279"/>
      <c r="BE164" s="278"/>
      <c r="BF164" s="278"/>
      <c r="BG164" s="278"/>
      <c r="BH164" s="278"/>
      <c r="BI164" s="278"/>
      <c r="BJ164" s="278"/>
      <c r="BK164" s="278"/>
      <c r="BM164" s="279"/>
      <c r="BN164" s="278"/>
      <c r="BO164" s="278"/>
      <c r="BP164" s="278"/>
      <c r="BQ164" s="278"/>
      <c r="BR164" s="278"/>
      <c r="BS164" s="278"/>
      <c r="BT164" s="278"/>
      <c r="BV164" s="279"/>
      <c r="BW164" s="278"/>
      <c r="BX164" s="278"/>
      <c r="BY164" s="278"/>
      <c r="BZ164" s="278"/>
      <c r="CA164" s="278"/>
      <c r="CB164" s="278"/>
      <c r="CC164" s="278"/>
      <c r="CE164" s="279"/>
      <c r="CF164" s="278"/>
      <c r="CG164" s="278"/>
      <c r="CH164" s="278"/>
      <c r="CI164" s="278"/>
      <c r="CJ164" s="278"/>
      <c r="CK164" s="278"/>
      <c r="CL164" s="278"/>
      <c r="CN164" s="279"/>
      <c r="CO164" s="278"/>
      <c r="CP164" s="278"/>
      <c r="CQ164" s="278"/>
      <c r="CR164" s="278"/>
      <c r="CS164" s="278"/>
      <c r="CT164" s="278"/>
      <c r="CU164" s="278"/>
      <c r="CW164" s="279"/>
      <c r="CX164" s="278"/>
      <c r="CY164" s="278"/>
      <c r="CZ164" s="278"/>
      <c r="DA164" s="278"/>
      <c r="DB164" s="278"/>
      <c r="DC164" s="278"/>
      <c r="DD164" s="278"/>
      <c r="DF164" s="279"/>
      <c r="DG164" s="278"/>
      <c r="DH164" s="278"/>
    </row>
    <row r="165" spans="2:112" ht="15.75" x14ac:dyDescent="0.2">
      <c r="B165" s="107" t="s">
        <v>156</v>
      </c>
      <c r="C165" s="126"/>
      <c r="D165" s="126"/>
      <c r="E165" s="127"/>
      <c r="F165" s="278"/>
      <c r="G165" s="278"/>
      <c r="H165" s="278"/>
      <c r="I165" s="278"/>
      <c r="K165" s="279"/>
      <c r="L165" s="278"/>
      <c r="M165" s="278"/>
      <c r="N165" s="278"/>
      <c r="O165" s="278"/>
      <c r="P165" s="278"/>
      <c r="Q165" s="278"/>
      <c r="R165" s="278"/>
      <c r="T165" s="279"/>
      <c r="U165" s="278"/>
      <c r="V165" s="278"/>
      <c r="W165" s="278"/>
      <c r="X165" s="278"/>
      <c r="Y165" s="278"/>
      <c r="Z165" s="278"/>
      <c r="AA165" s="278"/>
      <c r="AC165" s="279"/>
      <c r="AD165" s="278"/>
      <c r="AE165" s="278"/>
      <c r="AF165" s="278"/>
      <c r="AG165" s="278"/>
      <c r="AH165" s="278"/>
      <c r="AI165" s="278"/>
      <c r="AJ165" s="278"/>
      <c r="AL165" s="279"/>
      <c r="AM165" s="278"/>
      <c r="AN165" s="278"/>
      <c r="AO165" s="278"/>
      <c r="AP165" s="278"/>
      <c r="AQ165" s="278"/>
      <c r="AR165" s="278"/>
      <c r="AS165" s="278"/>
      <c r="AU165" s="279"/>
      <c r="AV165" s="278"/>
      <c r="AW165" s="278"/>
      <c r="AX165" s="278"/>
      <c r="AY165" s="278"/>
      <c r="AZ165" s="278"/>
      <c r="BA165" s="278"/>
      <c r="BB165" s="278"/>
      <c r="BD165" s="279"/>
      <c r="BE165" s="278"/>
      <c r="BF165" s="278"/>
      <c r="BG165" s="278"/>
      <c r="BH165" s="278"/>
      <c r="BI165" s="278"/>
      <c r="BJ165" s="278"/>
      <c r="BK165" s="278"/>
      <c r="BM165" s="279"/>
      <c r="BN165" s="278"/>
      <c r="BO165" s="278"/>
      <c r="BP165" s="278"/>
      <c r="BQ165" s="278"/>
      <c r="BR165" s="278"/>
      <c r="BS165" s="278"/>
      <c r="BT165" s="278"/>
      <c r="BV165" s="279"/>
      <c r="BW165" s="278"/>
      <c r="BX165" s="278"/>
      <c r="BY165" s="278"/>
      <c r="BZ165" s="278"/>
      <c r="CA165" s="278"/>
      <c r="CB165" s="278"/>
      <c r="CC165" s="278"/>
      <c r="CE165" s="279"/>
      <c r="CF165" s="278"/>
      <c r="CG165" s="278"/>
      <c r="CH165" s="278"/>
      <c r="CI165" s="278"/>
      <c r="CJ165" s="278"/>
      <c r="CK165" s="278"/>
      <c r="CL165" s="278"/>
      <c r="CN165" s="279"/>
      <c r="CO165" s="278"/>
      <c r="CP165" s="278"/>
      <c r="CQ165" s="278"/>
      <c r="CR165" s="278"/>
      <c r="CS165" s="278"/>
      <c r="CT165" s="278"/>
      <c r="CU165" s="278"/>
      <c r="CW165" s="279"/>
      <c r="CX165" s="278"/>
      <c r="CY165" s="278"/>
      <c r="CZ165" s="278"/>
      <c r="DA165" s="278"/>
      <c r="DB165" s="278"/>
      <c r="DC165" s="278"/>
      <c r="DD165" s="278"/>
      <c r="DF165" s="279"/>
      <c r="DG165" s="278"/>
      <c r="DH165" s="278"/>
    </row>
    <row r="166" spans="2:112" x14ac:dyDescent="0.2">
      <c r="B166" s="78" t="s">
        <v>157</v>
      </c>
      <c r="C166" s="138">
        <v>0.9</v>
      </c>
      <c r="D166" s="138">
        <v>1</v>
      </c>
      <c r="E166" s="139">
        <v>1.3</v>
      </c>
    </row>
    <row r="167" spans="2:112" x14ac:dyDescent="0.2">
      <c r="B167" s="78" t="s">
        <v>158</v>
      </c>
      <c r="C167" s="138">
        <v>1.5</v>
      </c>
      <c r="D167" s="138">
        <v>1.5</v>
      </c>
      <c r="E167" s="139">
        <v>1.5</v>
      </c>
    </row>
    <row r="168" spans="2:112" x14ac:dyDescent="0.2">
      <c r="B168" s="78" t="s">
        <v>159</v>
      </c>
      <c r="C168" s="126">
        <v>0.33</v>
      </c>
      <c r="D168" s="126">
        <v>0.33</v>
      </c>
      <c r="E168" s="127">
        <v>0.33</v>
      </c>
    </row>
    <row r="169" spans="2:112" x14ac:dyDescent="0.2">
      <c r="B169" s="78" t="s">
        <v>160</v>
      </c>
      <c r="C169" s="126">
        <v>1.2368494663969027</v>
      </c>
      <c r="D169" s="126">
        <v>1.2552469361071619</v>
      </c>
      <c r="E169" s="127">
        <v>1.278349911194032</v>
      </c>
    </row>
    <row r="170" spans="2:112" x14ac:dyDescent="0.2">
      <c r="B170" s="78"/>
      <c r="C170" s="138"/>
      <c r="D170" s="126"/>
      <c r="E170" s="127"/>
    </row>
    <row r="171" spans="2:112" ht="15.75" x14ac:dyDescent="0.2">
      <c r="B171" s="107" t="s">
        <v>353</v>
      </c>
      <c r="C171" s="126"/>
      <c r="D171" s="126"/>
      <c r="E171" s="127"/>
      <c r="F171" s="278"/>
      <c r="G171" s="278"/>
      <c r="H171" s="278"/>
      <c r="I171" s="278"/>
      <c r="K171" s="279"/>
      <c r="L171" s="278"/>
      <c r="M171" s="278"/>
      <c r="N171" s="278"/>
      <c r="O171" s="278"/>
      <c r="P171" s="278"/>
      <c r="Q171" s="278"/>
      <c r="R171" s="278"/>
      <c r="T171" s="279"/>
      <c r="U171" s="278"/>
      <c r="V171" s="278"/>
      <c r="W171" s="278"/>
      <c r="X171" s="278"/>
      <c r="Y171" s="278"/>
      <c r="Z171" s="278"/>
      <c r="AA171" s="278"/>
      <c r="AC171" s="279"/>
      <c r="AD171" s="278"/>
      <c r="AE171" s="278"/>
      <c r="AF171" s="278"/>
      <c r="AG171" s="278"/>
      <c r="AH171" s="278"/>
      <c r="AI171" s="278"/>
      <c r="AJ171" s="278"/>
      <c r="AL171" s="279"/>
      <c r="AM171" s="278"/>
      <c r="AN171" s="278"/>
      <c r="AO171" s="278"/>
      <c r="AP171" s="278"/>
      <c r="AQ171" s="278"/>
      <c r="AR171" s="278"/>
      <c r="AS171" s="278"/>
      <c r="AU171" s="279"/>
      <c r="AV171" s="278"/>
      <c r="AW171" s="278"/>
      <c r="AX171" s="278"/>
      <c r="AY171" s="278"/>
      <c r="AZ171" s="278"/>
      <c r="BA171" s="278"/>
      <c r="BB171" s="278"/>
      <c r="BD171" s="279"/>
      <c r="BE171" s="278"/>
      <c r="BF171" s="278"/>
      <c r="BG171" s="278"/>
      <c r="BH171" s="278"/>
      <c r="BI171" s="278"/>
      <c r="BJ171" s="278"/>
      <c r="BK171" s="278"/>
      <c r="BM171" s="279"/>
      <c r="BN171" s="278"/>
      <c r="BO171" s="278"/>
      <c r="BP171" s="278"/>
      <c r="BQ171" s="278"/>
      <c r="BR171" s="278"/>
      <c r="BS171" s="278"/>
      <c r="BT171" s="278"/>
      <c r="BV171" s="279"/>
      <c r="BW171" s="278"/>
      <c r="BX171" s="278"/>
      <c r="BY171" s="278"/>
      <c r="BZ171" s="278"/>
      <c r="CA171" s="278"/>
      <c r="CB171" s="278"/>
      <c r="CC171" s="278"/>
      <c r="CE171" s="279"/>
      <c r="CF171" s="278"/>
      <c r="CG171" s="278"/>
      <c r="CH171" s="278"/>
      <c r="CI171" s="278"/>
      <c r="CJ171" s="278"/>
      <c r="CK171" s="278"/>
      <c r="CL171" s="278"/>
      <c r="CN171" s="279"/>
      <c r="CO171" s="278"/>
      <c r="CP171" s="278"/>
      <c r="CQ171" s="278"/>
      <c r="CR171" s="278"/>
      <c r="CS171" s="278"/>
      <c r="CT171" s="278"/>
      <c r="CU171" s="278"/>
      <c r="CW171" s="279"/>
      <c r="CX171" s="278"/>
      <c r="CY171" s="278"/>
      <c r="CZ171" s="278"/>
      <c r="DA171" s="278"/>
      <c r="DB171" s="278"/>
      <c r="DC171" s="278"/>
      <c r="DD171" s="278"/>
      <c r="DF171" s="279"/>
      <c r="DG171" s="278"/>
      <c r="DH171" s="278"/>
    </row>
    <row r="172" spans="2:112" x14ac:dyDescent="0.2">
      <c r="B172" s="78" t="s">
        <v>157</v>
      </c>
      <c r="C172" s="138">
        <v>0.9</v>
      </c>
      <c r="D172" s="138">
        <v>1</v>
      </c>
      <c r="E172" s="139">
        <v>1.3</v>
      </c>
    </row>
    <row r="173" spans="2:112" x14ac:dyDescent="0.2">
      <c r="B173" s="78" t="s">
        <v>158</v>
      </c>
      <c r="C173" s="138">
        <v>1.5</v>
      </c>
      <c r="D173" s="138">
        <v>1.5</v>
      </c>
      <c r="E173" s="139">
        <v>1.5</v>
      </c>
    </row>
    <row r="174" spans="2:112" x14ac:dyDescent="0.2">
      <c r="B174" s="78" t="s">
        <v>207</v>
      </c>
      <c r="C174" s="138">
        <v>0.33</v>
      </c>
      <c r="D174" s="138">
        <v>0.33</v>
      </c>
      <c r="E174" s="139">
        <v>0.33</v>
      </c>
    </row>
    <row r="175" spans="2:112" x14ac:dyDescent="0.2">
      <c r="B175" s="78" t="s">
        <v>160</v>
      </c>
      <c r="C175" s="138">
        <v>1.2368494663969027</v>
      </c>
      <c r="D175" s="138">
        <v>1.2552469361071619</v>
      </c>
      <c r="E175" s="139">
        <v>1.278349911194032</v>
      </c>
    </row>
    <row r="176" spans="2:112" x14ac:dyDescent="0.2">
      <c r="B176" s="78"/>
      <c r="C176" s="138"/>
      <c r="D176" s="126"/>
      <c r="E176" s="127"/>
    </row>
    <row r="177" spans="2:5" ht="15.75" x14ac:dyDescent="0.2">
      <c r="B177" s="140" t="s">
        <v>161</v>
      </c>
      <c r="C177" s="126"/>
      <c r="D177" s="126"/>
      <c r="E177" s="127"/>
    </row>
    <row r="178" spans="2:5" x14ac:dyDescent="0.2">
      <c r="B178" s="141" t="s">
        <v>162</v>
      </c>
      <c r="C178" s="123">
        <v>600</v>
      </c>
      <c r="D178" s="123">
        <v>600</v>
      </c>
      <c r="E178" s="124">
        <v>600</v>
      </c>
    </row>
    <row r="179" spans="2:5" x14ac:dyDescent="0.2">
      <c r="B179" s="141" t="s">
        <v>163</v>
      </c>
      <c r="C179" s="123">
        <v>16200</v>
      </c>
      <c r="D179" s="123">
        <v>16200</v>
      </c>
      <c r="E179" s="124">
        <v>16200</v>
      </c>
    </row>
    <row r="180" spans="2:5" x14ac:dyDescent="0.2">
      <c r="B180" s="141" t="s">
        <v>164</v>
      </c>
      <c r="C180" s="138">
        <v>1.6</v>
      </c>
      <c r="D180" s="138">
        <v>1.6</v>
      </c>
      <c r="E180" s="139">
        <v>1.6</v>
      </c>
    </row>
    <row r="181" spans="2:5" x14ac:dyDescent="0.2">
      <c r="B181" s="141"/>
      <c r="C181" s="123"/>
      <c r="D181" s="123"/>
      <c r="E181" s="124"/>
    </row>
    <row r="182" spans="2:5" x14ac:dyDescent="0.2">
      <c r="B182" s="85"/>
      <c r="C182" s="123"/>
      <c r="D182" s="123"/>
      <c r="E182" s="124"/>
    </row>
    <row r="183" spans="2:5" ht="15.75" x14ac:dyDescent="0.2">
      <c r="B183" s="107" t="s">
        <v>165</v>
      </c>
      <c r="C183" s="123"/>
      <c r="D183" s="123"/>
      <c r="E183" s="124"/>
    </row>
    <row r="184" spans="2:5" x14ac:dyDescent="0.2">
      <c r="B184" s="96" t="s">
        <v>166</v>
      </c>
      <c r="C184" s="142">
        <v>0.9</v>
      </c>
      <c r="D184" s="142">
        <v>0.9</v>
      </c>
      <c r="E184" s="143">
        <v>0.9</v>
      </c>
    </row>
    <row r="185" spans="2:5" x14ac:dyDescent="0.2">
      <c r="B185" s="144" t="s">
        <v>167</v>
      </c>
      <c r="C185" s="142">
        <v>0</v>
      </c>
      <c r="D185" s="142">
        <v>0</v>
      </c>
      <c r="E185" s="143">
        <v>0</v>
      </c>
    </row>
    <row r="186" spans="2:5" x14ac:dyDescent="0.2">
      <c r="B186" s="144" t="s">
        <v>168</v>
      </c>
      <c r="C186" s="142">
        <v>0</v>
      </c>
      <c r="D186" s="142">
        <v>0</v>
      </c>
      <c r="E186" s="143">
        <v>0</v>
      </c>
    </row>
    <row r="187" spans="2:5" x14ac:dyDescent="0.2">
      <c r="B187" s="144" t="s">
        <v>169</v>
      </c>
      <c r="C187" s="142">
        <v>0.9</v>
      </c>
      <c r="D187" s="142">
        <v>0.9</v>
      </c>
      <c r="E187" s="143">
        <v>0.9</v>
      </c>
    </row>
    <row r="188" spans="2:5" x14ac:dyDescent="0.2">
      <c r="B188" s="96"/>
      <c r="C188" s="145"/>
      <c r="D188" s="145"/>
      <c r="E188" s="146"/>
    </row>
    <row r="189" spans="2:5" ht="15.75" x14ac:dyDescent="0.2">
      <c r="B189" s="107" t="s">
        <v>170</v>
      </c>
      <c r="C189" s="123"/>
      <c r="D189" s="123"/>
      <c r="E189" s="124"/>
    </row>
    <row r="190" spans="2:5" x14ac:dyDescent="0.2">
      <c r="B190" s="96" t="s">
        <v>166</v>
      </c>
      <c r="C190" s="138">
        <v>10.200000000000001</v>
      </c>
      <c r="D190" s="138">
        <v>10.200000000000001</v>
      </c>
      <c r="E190" s="139">
        <v>10.200000000000001</v>
      </c>
    </row>
    <row r="191" spans="2:5" x14ac:dyDescent="0.2">
      <c r="B191" s="144" t="s">
        <v>167</v>
      </c>
      <c r="C191" s="138">
        <v>9.3000000000000007</v>
      </c>
      <c r="D191" s="138">
        <v>9.3000000000000007</v>
      </c>
      <c r="E191" s="139">
        <v>9.3000000000000007</v>
      </c>
    </row>
    <row r="192" spans="2:5" x14ac:dyDescent="0.2">
      <c r="B192" s="144" t="s">
        <v>168</v>
      </c>
      <c r="C192" s="138">
        <v>0</v>
      </c>
      <c r="D192" s="138">
        <v>0</v>
      </c>
      <c r="E192" s="139">
        <v>0</v>
      </c>
    </row>
    <row r="193" spans="2:5" x14ac:dyDescent="0.2">
      <c r="B193" s="144" t="s">
        <v>169</v>
      </c>
      <c r="C193" s="138">
        <v>0.9</v>
      </c>
      <c r="D193" s="138">
        <v>0.9</v>
      </c>
      <c r="E193" s="139">
        <v>0.9</v>
      </c>
    </row>
    <row r="194" spans="2:5" x14ac:dyDescent="0.2">
      <c r="B194" s="96"/>
      <c r="C194" s="145"/>
      <c r="D194" s="145"/>
      <c r="E194" s="146"/>
    </row>
    <row r="195" spans="2:5" ht="15" customHeight="1" x14ac:dyDescent="0.2">
      <c r="B195" s="147" t="s">
        <v>171</v>
      </c>
      <c r="C195" s="104"/>
      <c r="D195" s="104"/>
      <c r="E195" s="105"/>
    </row>
    <row r="196" spans="2:5" ht="15" customHeight="1" x14ac:dyDescent="0.2">
      <c r="B196" s="141" t="s">
        <v>172</v>
      </c>
      <c r="C196" s="148">
        <v>-25.4</v>
      </c>
      <c r="D196" s="148">
        <v>-25.4</v>
      </c>
      <c r="E196" s="149">
        <v>-25.4</v>
      </c>
    </row>
    <row r="197" spans="2:5" ht="15" customHeight="1" x14ac:dyDescent="0.2">
      <c r="B197" s="141" t="s">
        <v>173</v>
      </c>
      <c r="C197" s="148">
        <v>-8.6</v>
      </c>
      <c r="D197" s="148">
        <v>-8.6</v>
      </c>
      <c r="E197" s="149">
        <v>-8.6</v>
      </c>
    </row>
    <row r="198" spans="2:5" ht="15" customHeight="1" x14ac:dyDescent="0.2">
      <c r="B198" s="141"/>
      <c r="C198" s="148"/>
      <c r="D198" s="148"/>
      <c r="E198" s="149"/>
    </row>
    <row r="199" spans="2:5" ht="15" customHeight="1" x14ac:dyDescent="0.2">
      <c r="B199" s="147" t="s">
        <v>174</v>
      </c>
      <c r="C199" s="148"/>
      <c r="D199" s="148"/>
      <c r="E199" s="149"/>
    </row>
    <row r="200" spans="2:5" ht="15" customHeight="1" x14ac:dyDescent="0.2">
      <c r="B200" s="141" t="s">
        <v>172</v>
      </c>
      <c r="C200" s="148" t="s">
        <v>208</v>
      </c>
      <c r="D200" s="148" t="s">
        <v>208</v>
      </c>
      <c r="E200" s="149" t="s">
        <v>208</v>
      </c>
    </row>
    <row r="201" spans="2:5" ht="15" customHeight="1" x14ac:dyDescent="0.2">
      <c r="B201" s="141" t="s">
        <v>173</v>
      </c>
      <c r="C201" s="148" t="s">
        <v>208</v>
      </c>
      <c r="D201" s="148" t="s">
        <v>208</v>
      </c>
      <c r="E201" s="149" t="s">
        <v>208</v>
      </c>
    </row>
    <row r="202" spans="2:5" ht="15.75" thickBot="1" x14ac:dyDescent="0.25">
      <c r="B202" s="150"/>
      <c r="C202" s="111"/>
      <c r="D202" s="111"/>
      <c r="E202" s="112"/>
    </row>
    <row r="203" spans="2:5" ht="17.25" thickTop="1" thickBot="1" x14ac:dyDescent="0.25">
      <c r="B203" s="95" t="s">
        <v>175</v>
      </c>
      <c r="C203" s="153"/>
      <c r="D203" s="153"/>
      <c r="E203" s="154"/>
    </row>
    <row r="204" spans="2:5" ht="15.75" thickTop="1" x14ac:dyDescent="0.2">
      <c r="B204" s="141"/>
      <c r="C204" s="97"/>
      <c r="D204" s="97"/>
      <c r="E204" s="98"/>
    </row>
    <row r="205" spans="2:5" x14ac:dyDescent="0.2">
      <c r="B205" s="141" t="s">
        <v>176</v>
      </c>
      <c r="C205" s="155"/>
      <c r="D205" s="155"/>
      <c r="E205" s="156"/>
    </row>
    <row r="206" spans="2:5" ht="15.75" x14ac:dyDescent="0.2">
      <c r="B206" s="157" t="s">
        <v>177</v>
      </c>
      <c r="C206" s="158">
        <v>188.6</v>
      </c>
      <c r="D206" s="158">
        <v>188.6</v>
      </c>
      <c r="E206" s="159">
        <v>188.6</v>
      </c>
    </row>
    <row r="207" spans="2:5" ht="15.75" x14ac:dyDescent="0.2">
      <c r="B207" s="125" t="s">
        <v>178</v>
      </c>
      <c r="C207" s="160">
        <v>6.4</v>
      </c>
      <c r="D207" s="160">
        <v>6.3</v>
      </c>
      <c r="E207" s="161">
        <v>6.4</v>
      </c>
    </row>
    <row r="208" spans="2:5" x14ac:dyDescent="0.2">
      <c r="B208" s="157" t="s">
        <v>179</v>
      </c>
      <c r="C208" s="158">
        <v>68.900000000000006</v>
      </c>
      <c r="D208" s="158">
        <v>68.900000000000006</v>
      </c>
      <c r="E208" s="159">
        <v>68.900000000000006</v>
      </c>
    </row>
    <row r="209" spans="2:5" ht="15.75" x14ac:dyDescent="0.2">
      <c r="B209" s="157" t="s">
        <v>180</v>
      </c>
      <c r="C209" s="158">
        <v>381600</v>
      </c>
      <c r="D209" s="158">
        <v>379200</v>
      </c>
      <c r="E209" s="159">
        <v>385200</v>
      </c>
    </row>
    <row r="210" spans="2:5" x14ac:dyDescent="0.2">
      <c r="B210" s="157"/>
      <c r="C210" s="162"/>
      <c r="D210" s="162"/>
      <c r="E210" s="163"/>
    </row>
    <row r="211" spans="2:5" x14ac:dyDescent="0.2">
      <c r="B211" s="141" t="s">
        <v>181</v>
      </c>
      <c r="C211" s="162"/>
      <c r="D211" s="162"/>
      <c r="E211" s="163"/>
    </row>
    <row r="212" spans="2:5" ht="15.75" x14ac:dyDescent="0.2">
      <c r="B212" s="157" t="s">
        <v>177</v>
      </c>
      <c r="C212" s="158">
        <v>26.4</v>
      </c>
      <c r="D212" s="158">
        <v>26.4</v>
      </c>
      <c r="E212" s="159">
        <v>26.4</v>
      </c>
    </row>
    <row r="213" spans="2:5" ht="15.75" x14ac:dyDescent="0.2">
      <c r="B213" s="157" t="s">
        <v>178</v>
      </c>
      <c r="C213" s="160">
        <v>6.4</v>
      </c>
      <c r="D213" s="160">
        <v>6.3</v>
      </c>
      <c r="E213" s="161">
        <v>6.4</v>
      </c>
    </row>
    <row r="214" spans="2:5" x14ac:dyDescent="0.2">
      <c r="B214" s="157" t="s">
        <v>179</v>
      </c>
      <c r="C214" s="158">
        <v>16.100000000000001</v>
      </c>
      <c r="D214" s="158">
        <v>16.100000000000001</v>
      </c>
      <c r="E214" s="159">
        <v>16.100000000000001</v>
      </c>
    </row>
    <row r="215" spans="2:5" ht="15.75" x14ac:dyDescent="0.2">
      <c r="B215" s="157" t="s">
        <v>180</v>
      </c>
      <c r="C215" s="158">
        <v>381600</v>
      </c>
      <c r="D215" s="158">
        <v>379200</v>
      </c>
      <c r="E215" s="159">
        <v>385200</v>
      </c>
    </row>
    <row r="216" spans="2:5" ht="15.75" thickBot="1" x14ac:dyDescent="0.25">
      <c r="B216" s="141"/>
      <c r="C216" s="164"/>
      <c r="D216" s="164"/>
      <c r="E216" s="165"/>
    </row>
    <row r="217" spans="2:5" ht="17.25" thickTop="1" thickBot="1" x14ac:dyDescent="0.25">
      <c r="B217" s="95" t="s">
        <v>182</v>
      </c>
      <c r="C217" s="166"/>
      <c r="D217" s="166"/>
      <c r="E217" s="167"/>
    </row>
    <row r="218" spans="2:5" ht="15.75" thickTop="1" x14ac:dyDescent="0.2">
      <c r="B218" s="141"/>
      <c r="C218" s="168"/>
      <c r="D218" s="168"/>
      <c r="E218" s="169"/>
    </row>
    <row r="219" spans="2:5" ht="15.75" x14ac:dyDescent="0.2">
      <c r="B219" s="141" t="s">
        <v>176</v>
      </c>
      <c r="C219" s="170"/>
      <c r="D219" s="171"/>
      <c r="E219" s="172"/>
    </row>
    <row r="220" spans="2:5" ht="15.75" x14ac:dyDescent="0.2">
      <c r="B220" s="157" t="s">
        <v>177</v>
      </c>
      <c r="C220" s="158">
        <v>640</v>
      </c>
      <c r="D220" s="158">
        <v>640</v>
      </c>
      <c r="E220" s="159">
        <v>640</v>
      </c>
    </row>
    <row r="221" spans="2:5" ht="15.75" x14ac:dyDescent="0.2">
      <c r="B221" s="125" t="s">
        <v>178</v>
      </c>
      <c r="C221" s="160">
        <v>4.8</v>
      </c>
      <c r="D221" s="160">
        <v>4.8</v>
      </c>
      <c r="E221" s="161">
        <v>4.9000000000000004</v>
      </c>
    </row>
    <row r="222" spans="2:5" ht="18.600000000000001" customHeight="1" x14ac:dyDescent="0.2">
      <c r="B222" s="157" t="s">
        <v>179</v>
      </c>
      <c r="C222" s="158">
        <v>109.4</v>
      </c>
      <c r="D222" s="158">
        <v>109.4</v>
      </c>
      <c r="E222" s="159">
        <v>109.4</v>
      </c>
    </row>
    <row r="223" spans="2:5" ht="15.75" x14ac:dyDescent="0.2">
      <c r="B223" s="157" t="s">
        <v>180</v>
      </c>
      <c r="C223" s="158">
        <v>508800</v>
      </c>
      <c r="D223" s="158">
        <v>505600</v>
      </c>
      <c r="E223" s="159">
        <v>513600</v>
      </c>
    </row>
    <row r="224" spans="2:5" x14ac:dyDescent="0.2">
      <c r="B224" s="157"/>
      <c r="C224" s="158"/>
      <c r="D224" s="158"/>
      <c r="E224" s="159"/>
    </row>
    <row r="225" spans="2:5" x14ac:dyDescent="0.2">
      <c r="B225" s="141" t="s">
        <v>181</v>
      </c>
      <c r="C225" s="162"/>
      <c r="D225" s="162"/>
      <c r="E225" s="163"/>
    </row>
    <row r="226" spans="2:5" ht="15.75" x14ac:dyDescent="0.2">
      <c r="B226" s="157" t="s">
        <v>177</v>
      </c>
      <c r="C226" s="158">
        <v>96</v>
      </c>
      <c r="D226" s="158">
        <v>96</v>
      </c>
      <c r="E226" s="159">
        <v>96</v>
      </c>
    </row>
    <row r="227" spans="2:5" ht="15.75" x14ac:dyDescent="0.2">
      <c r="B227" s="157" t="s">
        <v>178</v>
      </c>
      <c r="C227" s="160">
        <v>4.8</v>
      </c>
      <c r="D227" s="160">
        <v>4.8</v>
      </c>
      <c r="E227" s="161">
        <v>4.9000000000000004</v>
      </c>
    </row>
    <row r="228" spans="2:5" x14ac:dyDescent="0.2">
      <c r="B228" s="157" t="s">
        <v>179</v>
      </c>
      <c r="C228" s="158">
        <v>18.600000000000001</v>
      </c>
      <c r="D228" s="158">
        <v>18.600000000000001</v>
      </c>
      <c r="E228" s="159">
        <v>18.600000000000001</v>
      </c>
    </row>
    <row r="229" spans="2:5" ht="15.75" x14ac:dyDescent="0.2">
      <c r="B229" s="157" t="s">
        <v>180</v>
      </c>
      <c r="C229" s="158">
        <v>508800</v>
      </c>
      <c r="D229" s="158">
        <v>505600</v>
      </c>
      <c r="E229" s="159">
        <v>513600</v>
      </c>
    </row>
    <row r="230" spans="2:5" ht="15.75" thickBot="1" x14ac:dyDescent="0.25">
      <c r="B230" s="173"/>
      <c r="C230" s="174"/>
      <c r="D230" s="174"/>
      <c r="E230" s="175"/>
    </row>
    <row r="231" spans="2:5" ht="16.5" thickTop="1" x14ac:dyDescent="0.2">
      <c r="B231" s="176" t="s">
        <v>183</v>
      </c>
      <c r="C231" s="177"/>
      <c r="D231" s="177"/>
      <c r="E231" s="178"/>
    </row>
    <row r="232" spans="2:5" s="179" customFormat="1" x14ac:dyDescent="0.2">
      <c r="B232" s="78" t="s">
        <v>184</v>
      </c>
      <c r="C232" s="180"/>
      <c r="D232" s="180"/>
      <c r="E232" s="181"/>
    </row>
    <row r="233" spans="2:5" s="179" customFormat="1" x14ac:dyDescent="0.2">
      <c r="B233" s="78" t="s">
        <v>185</v>
      </c>
      <c r="C233" s="180"/>
      <c r="D233" s="180"/>
      <c r="E233" s="181"/>
    </row>
    <row r="234" spans="2:5" s="179" customFormat="1" ht="15" customHeight="1" x14ac:dyDescent="0.2">
      <c r="B234" s="182" t="s">
        <v>186</v>
      </c>
      <c r="C234" s="183"/>
      <c r="D234" s="183"/>
      <c r="E234" s="184"/>
    </row>
    <row r="235" spans="2:5" s="179" customFormat="1" ht="15" customHeight="1" x14ac:dyDescent="0.2">
      <c r="B235" s="182" t="s">
        <v>187</v>
      </c>
      <c r="C235" s="183"/>
      <c r="D235" s="183"/>
      <c r="E235" s="184"/>
    </row>
    <row r="236" spans="2:5" s="179" customFormat="1" ht="15" hidden="1" customHeight="1" x14ac:dyDescent="0.2">
      <c r="B236" s="185"/>
      <c r="C236" s="183"/>
      <c r="D236" s="183"/>
      <c r="E236" s="184"/>
    </row>
    <row r="237" spans="2:5" s="179" customFormat="1" x14ac:dyDescent="0.2">
      <c r="B237" s="78" t="s">
        <v>188</v>
      </c>
      <c r="C237" s="180"/>
      <c r="D237" s="180"/>
      <c r="E237" s="181"/>
    </row>
    <row r="238" spans="2:5" s="179" customFormat="1" x14ac:dyDescent="0.2">
      <c r="B238" s="78" t="s">
        <v>189</v>
      </c>
      <c r="C238" s="180"/>
      <c r="D238" s="180"/>
      <c r="E238" s="181"/>
    </row>
    <row r="239" spans="2:5" s="179" customFormat="1" x14ac:dyDescent="0.2">
      <c r="B239" s="78" t="s">
        <v>190</v>
      </c>
      <c r="C239" s="180"/>
      <c r="D239" s="180"/>
      <c r="E239" s="181"/>
    </row>
    <row r="240" spans="2:5" s="179" customFormat="1" ht="15" customHeight="1" x14ac:dyDescent="0.2">
      <c r="B240" s="182" t="s">
        <v>191</v>
      </c>
      <c r="C240" s="183"/>
      <c r="D240" s="183"/>
      <c r="E240" s="184"/>
    </row>
    <row r="241" spans="2:5" s="179" customFormat="1" x14ac:dyDescent="0.2">
      <c r="B241" s="78" t="s">
        <v>192</v>
      </c>
      <c r="C241" s="183"/>
      <c r="D241" s="183"/>
      <c r="E241" s="184"/>
    </row>
    <row r="242" spans="2:5" s="179" customFormat="1" x14ac:dyDescent="0.2">
      <c r="B242" s="78" t="s">
        <v>193</v>
      </c>
      <c r="C242" s="180"/>
      <c r="D242" s="180"/>
      <c r="E242" s="181"/>
    </row>
    <row r="243" spans="2:5" s="179" customFormat="1" x14ac:dyDescent="0.2">
      <c r="B243" s="78" t="s">
        <v>194</v>
      </c>
      <c r="C243" s="180"/>
      <c r="D243" s="180"/>
      <c r="E243" s="181"/>
    </row>
    <row r="244" spans="2:5" s="179" customFormat="1" x14ac:dyDescent="0.2">
      <c r="B244" s="78" t="s">
        <v>195</v>
      </c>
      <c r="C244" s="180"/>
      <c r="D244" s="180"/>
      <c r="E244" s="181"/>
    </row>
    <row r="245" spans="2:5" s="179" customFormat="1" x14ac:dyDescent="0.2">
      <c r="B245" s="78" t="s">
        <v>196</v>
      </c>
      <c r="C245" s="180"/>
      <c r="D245" s="180"/>
      <c r="E245" s="181"/>
    </row>
    <row r="246" spans="2:5" ht="15.75" thickBot="1" x14ac:dyDescent="0.25">
      <c r="B246" s="110"/>
      <c r="C246" s="186"/>
      <c r="D246" s="186"/>
      <c r="E246" s="187"/>
    </row>
    <row r="247" spans="2:5" ht="15.75" thickTop="1" x14ac:dyDescent="0.2"/>
  </sheetData>
  <mergeCells count="4">
    <mergeCell ref="B2:E2"/>
    <mergeCell ref="B3:E3"/>
    <mergeCell ref="B4:E4"/>
    <mergeCell ref="B5:E5"/>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R269"/>
  <sheetViews>
    <sheetView zoomScale="55" zoomScaleNormal="55" workbookViewId="0"/>
  </sheetViews>
  <sheetFormatPr defaultColWidth="10.6640625" defaultRowHeight="15" x14ac:dyDescent="0.2"/>
  <cols>
    <col min="1" max="1" width="2" style="179" customWidth="1"/>
    <col min="2" max="2" width="64.33203125" style="179" customWidth="1"/>
    <col min="3" max="3" width="33.6640625" style="269" customWidth="1"/>
    <col min="4" max="6" width="34.1640625" style="269" customWidth="1"/>
    <col min="7" max="8" width="36.5" style="269" customWidth="1"/>
    <col min="9" max="16384" width="10.6640625" style="179"/>
  </cols>
  <sheetData>
    <row r="1" spans="2:8" ht="15.75" x14ac:dyDescent="0.2">
      <c r="B1" s="202"/>
      <c r="C1" s="203"/>
      <c r="D1" s="203"/>
      <c r="E1" s="203"/>
      <c r="F1" s="203"/>
      <c r="G1" s="203"/>
      <c r="H1" s="203"/>
    </row>
    <row r="2" spans="2:8" ht="16.5" thickBot="1" x14ac:dyDescent="0.25">
      <c r="B2" s="202"/>
      <c r="C2" s="203"/>
      <c r="D2" s="203"/>
      <c r="E2" s="203"/>
      <c r="F2" s="203"/>
      <c r="G2" s="203"/>
      <c r="H2" s="203"/>
    </row>
    <row r="3" spans="2:8" ht="16.5" thickTop="1" x14ac:dyDescent="0.2">
      <c r="B3" s="322" t="s">
        <v>76</v>
      </c>
      <c r="C3" s="323"/>
      <c r="D3" s="323"/>
      <c r="E3" s="323"/>
      <c r="F3" s="323"/>
      <c r="G3" s="323"/>
      <c r="H3" s="324"/>
    </row>
    <row r="4" spans="2:8" ht="15.75" x14ac:dyDescent="0.2">
      <c r="B4" s="325" t="s">
        <v>210</v>
      </c>
      <c r="C4" s="326"/>
      <c r="D4" s="326"/>
      <c r="E4" s="326"/>
      <c r="F4" s="326"/>
      <c r="G4" s="326"/>
      <c r="H4" s="327"/>
    </row>
    <row r="5" spans="2:8" ht="15.75" x14ac:dyDescent="0.2">
      <c r="B5" s="328" t="s">
        <v>78</v>
      </c>
      <c r="C5" s="329"/>
      <c r="D5" s="329"/>
      <c r="E5" s="329"/>
      <c r="F5" s="329"/>
      <c r="G5" s="329"/>
      <c r="H5" s="330"/>
    </row>
    <row r="6" spans="2:8" ht="16.5" thickBot="1" x14ac:dyDescent="0.25">
      <c r="B6" s="331" t="s">
        <v>350</v>
      </c>
      <c r="C6" s="332"/>
      <c r="D6" s="332"/>
      <c r="E6" s="332"/>
      <c r="F6" s="332"/>
      <c r="G6" s="332"/>
      <c r="H6" s="333"/>
    </row>
    <row r="7" spans="2:8" ht="46.9" customHeight="1" thickTop="1" thickBot="1" x14ac:dyDescent="0.25">
      <c r="B7" s="204" t="s">
        <v>211</v>
      </c>
      <c r="C7" s="205" t="s">
        <v>65</v>
      </c>
      <c r="D7" s="66" t="s">
        <v>64</v>
      </c>
      <c r="E7" s="66" t="s">
        <v>62</v>
      </c>
      <c r="F7" s="66" t="s">
        <v>63</v>
      </c>
      <c r="G7" s="205" t="s">
        <v>61</v>
      </c>
      <c r="H7" s="206" t="s">
        <v>60</v>
      </c>
    </row>
    <row r="8" spans="2:8" ht="15.6" customHeight="1" thickTop="1" thickBot="1" x14ac:dyDescent="0.25">
      <c r="B8" s="204" t="s">
        <v>80</v>
      </c>
      <c r="C8" s="207" t="s">
        <v>212</v>
      </c>
      <c r="D8" s="207" t="s">
        <v>212</v>
      </c>
      <c r="E8" s="207" t="s">
        <v>212</v>
      </c>
      <c r="F8" s="207" t="s">
        <v>212</v>
      </c>
      <c r="G8" s="207" t="s">
        <v>212</v>
      </c>
      <c r="H8" s="208" t="s">
        <v>212</v>
      </c>
    </row>
    <row r="9" spans="2:8" ht="15.75" thickTop="1" x14ac:dyDescent="0.2">
      <c r="B9" s="75" t="s">
        <v>81</v>
      </c>
      <c r="C9" s="209">
        <v>1</v>
      </c>
      <c r="D9" s="209">
        <v>1</v>
      </c>
      <c r="E9" s="209">
        <v>1</v>
      </c>
      <c r="F9" s="209">
        <v>1</v>
      </c>
      <c r="G9" s="209">
        <v>1</v>
      </c>
      <c r="H9" s="210">
        <v>1</v>
      </c>
    </row>
    <row r="10" spans="2:8" x14ac:dyDescent="0.2">
      <c r="B10" s="75" t="s">
        <v>213</v>
      </c>
      <c r="C10" s="211">
        <v>1</v>
      </c>
      <c r="D10" s="211">
        <v>1</v>
      </c>
      <c r="E10" s="211">
        <v>1</v>
      </c>
      <c r="F10" s="211">
        <v>1</v>
      </c>
      <c r="G10" s="211">
        <v>1</v>
      </c>
      <c r="H10" s="212">
        <v>1</v>
      </c>
    </row>
    <row r="11" spans="2:8" x14ac:dyDescent="0.2">
      <c r="B11" s="75" t="s">
        <v>82</v>
      </c>
      <c r="C11" s="211" t="s">
        <v>83</v>
      </c>
      <c r="D11" s="211" t="s">
        <v>83</v>
      </c>
      <c r="E11" s="211" t="s">
        <v>83</v>
      </c>
      <c r="F11" s="211" t="s">
        <v>83</v>
      </c>
      <c r="G11" s="211" t="s">
        <v>83</v>
      </c>
      <c r="H11" s="212" t="s">
        <v>83</v>
      </c>
    </row>
    <row r="12" spans="2:8" x14ac:dyDescent="0.2">
      <c r="B12" s="85" t="s">
        <v>214</v>
      </c>
      <c r="C12" s="211" t="s">
        <v>215</v>
      </c>
      <c r="D12" s="211" t="s">
        <v>215</v>
      </c>
      <c r="E12" s="211" t="s">
        <v>215</v>
      </c>
      <c r="F12" s="211" t="s">
        <v>215</v>
      </c>
      <c r="G12" s="211" t="s">
        <v>215</v>
      </c>
      <c r="H12" s="212" t="s">
        <v>215</v>
      </c>
    </row>
    <row r="13" spans="2:8" x14ac:dyDescent="0.2">
      <c r="B13" s="85" t="s">
        <v>216</v>
      </c>
      <c r="C13" s="213">
        <v>2330</v>
      </c>
      <c r="D13" s="213">
        <v>2330</v>
      </c>
      <c r="E13" s="213">
        <v>2330</v>
      </c>
      <c r="F13" s="213">
        <v>2330</v>
      </c>
      <c r="G13" s="213">
        <v>2330</v>
      </c>
      <c r="H13" s="214">
        <v>2330</v>
      </c>
    </row>
    <row r="14" spans="2:8" x14ac:dyDescent="0.2">
      <c r="B14" s="85" t="s">
        <v>217</v>
      </c>
      <c r="C14" s="215" t="s">
        <v>218</v>
      </c>
      <c r="D14" s="215" t="s">
        <v>218</v>
      </c>
      <c r="E14" s="215" t="s">
        <v>218</v>
      </c>
      <c r="F14" s="215" t="s">
        <v>218</v>
      </c>
      <c r="G14" s="215" t="s">
        <v>218</v>
      </c>
      <c r="H14" s="216" t="s">
        <v>218</v>
      </c>
    </row>
    <row r="15" spans="2:8" hidden="1" x14ac:dyDescent="0.2">
      <c r="B15" s="85"/>
      <c r="C15" s="217"/>
      <c r="D15" s="217"/>
      <c r="E15" s="217"/>
      <c r="F15" s="217"/>
      <c r="G15" s="217"/>
      <c r="H15" s="218"/>
    </row>
    <row r="16" spans="2:8" x14ac:dyDescent="0.2">
      <c r="B16" s="78" t="s">
        <v>219</v>
      </c>
      <c r="C16" s="219">
        <v>180</v>
      </c>
      <c r="D16" s="219">
        <v>180</v>
      </c>
      <c r="E16" s="219">
        <v>180</v>
      </c>
      <c r="F16" s="219">
        <v>180</v>
      </c>
      <c r="G16" s="219">
        <v>180</v>
      </c>
      <c r="H16" s="220">
        <v>180</v>
      </c>
    </row>
    <row r="17" spans="2:8" x14ac:dyDescent="0.2">
      <c r="B17" s="78" t="s">
        <v>220</v>
      </c>
      <c r="C17" s="219">
        <v>120</v>
      </c>
      <c r="D17" s="219">
        <v>120</v>
      </c>
      <c r="E17" s="219">
        <v>120</v>
      </c>
      <c r="F17" s="219">
        <v>120</v>
      </c>
      <c r="G17" s="219">
        <v>120</v>
      </c>
      <c r="H17" s="220">
        <v>120</v>
      </c>
    </row>
    <row r="18" spans="2:8" x14ac:dyDescent="0.2">
      <c r="B18" s="78" t="s">
        <v>221</v>
      </c>
      <c r="C18" s="219">
        <v>80</v>
      </c>
      <c r="D18" s="219">
        <v>80</v>
      </c>
      <c r="E18" s="219">
        <v>80</v>
      </c>
      <c r="F18" s="219">
        <v>80</v>
      </c>
      <c r="G18" s="219">
        <v>80</v>
      </c>
      <c r="H18" s="220">
        <v>80</v>
      </c>
    </row>
    <row r="19" spans="2:8" x14ac:dyDescent="0.2">
      <c r="B19" s="78" t="s">
        <v>222</v>
      </c>
      <c r="C19" s="219">
        <v>60</v>
      </c>
      <c r="D19" s="219">
        <v>60</v>
      </c>
      <c r="E19" s="219">
        <v>60</v>
      </c>
      <c r="F19" s="219">
        <v>60</v>
      </c>
      <c r="G19" s="219">
        <v>60</v>
      </c>
      <c r="H19" s="220">
        <v>60</v>
      </c>
    </row>
    <row r="20" spans="2:8" hidden="1" x14ac:dyDescent="0.2">
      <c r="B20" s="78"/>
      <c r="C20" s="221"/>
      <c r="D20" s="221"/>
      <c r="E20" s="221"/>
      <c r="F20" s="221"/>
      <c r="G20" s="221"/>
      <c r="H20" s="222"/>
    </row>
    <row r="21" spans="2:8" hidden="1" x14ac:dyDescent="0.2">
      <c r="B21" s="78"/>
      <c r="C21" s="219"/>
      <c r="D21" s="219"/>
      <c r="E21" s="219"/>
      <c r="F21" s="219"/>
      <c r="G21" s="219"/>
      <c r="H21" s="220"/>
    </row>
    <row r="22" spans="2:8" hidden="1" x14ac:dyDescent="0.2">
      <c r="B22" s="78"/>
      <c r="C22" s="223"/>
      <c r="D22" s="223"/>
      <c r="E22" s="223"/>
      <c r="F22" s="223"/>
      <c r="G22" s="223"/>
      <c r="H22" s="224"/>
    </row>
    <row r="23" spans="2:8" x14ac:dyDescent="0.2">
      <c r="B23" s="85" t="s">
        <v>89</v>
      </c>
      <c r="C23" s="83">
        <v>2.92E-2</v>
      </c>
      <c r="D23" s="83">
        <v>2.92E-2</v>
      </c>
      <c r="E23" s="83">
        <v>2.92E-2</v>
      </c>
      <c r="F23" s="83">
        <v>2.92E-2</v>
      </c>
      <c r="G23" s="83">
        <v>2.92E-2</v>
      </c>
      <c r="H23" s="84">
        <v>2.92E-2</v>
      </c>
    </row>
    <row r="24" spans="2:8" hidden="1" x14ac:dyDescent="0.2">
      <c r="B24" s="85"/>
      <c r="C24" s="223"/>
      <c r="D24" s="223"/>
      <c r="E24" s="223"/>
      <c r="F24" s="223"/>
      <c r="G24" s="223"/>
      <c r="H24" s="224"/>
    </row>
    <row r="25" spans="2:8" x14ac:dyDescent="0.2">
      <c r="B25" s="85" t="s">
        <v>90</v>
      </c>
      <c r="C25" s="86">
        <v>30</v>
      </c>
      <c r="D25" s="86">
        <v>30</v>
      </c>
      <c r="E25" s="86">
        <v>30</v>
      </c>
      <c r="F25" s="86">
        <v>30</v>
      </c>
      <c r="G25" s="86">
        <v>30</v>
      </c>
      <c r="H25" s="87">
        <v>30</v>
      </c>
    </row>
    <row r="26" spans="2:8" ht="30" x14ac:dyDescent="0.2">
      <c r="B26" s="78" t="s">
        <v>91</v>
      </c>
      <c r="C26" s="88" t="s">
        <v>92</v>
      </c>
      <c r="D26" s="88" t="s">
        <v>92</v>
      </c>
      <c r="E26" s="88" t="s">
        <v>92</v>
      </c>
      <c r="F26" s="88" t="s">
        <v>92</v>
      </c>
      <c r="G26" s="88" t="s">
        <v>92</v>
      </c>
      <c r="H26" s="89" t="s">
        <v>92</v>
      </c>
    </row>
    <row r="27" spans="2:8" s="61" customFormat="1" ht="15" customHeight="1" x14ac:dyDescent="0.2">
      <c r="B27" s="78" t="s">
        <v>93</v>
      </c>
      <c r="C27" s="88" t="s">
        <v>94</v>
      </c>
      <c r="D27" s="88" t="s">
        <v>94</v>
      </c>
      <c r="E27" s="88" t="s">
        <v>94</v>
      </c>
      <c r="F27" s="88" t="s">
        <v>94</v>
      </c>
      <c r="G27" s="88" t="s">
        <v>94</v>
      </c>
      <c r="H27" s="89" t="s">
        <v>94</v>
      </c>
    </row>
    <row r="28" spans="2:8" ht="15" customHeight="1" x14ac:dyDescent="0.2">
      <c r="B28" s="75" t="s">
        <v>95</v>
      </c>
      <c r="C28" s="225" t="s">
        <v>223</v>
      </c>
      <c r="D28" s="225" t="s">
        <v>223</v>
      </c>
      <c r="E28" s="225" t="s">
        <v>223</v>
      </c>
      <c r="F28" s="225" t="s">
        <v>223</v>
      </c>
      <c r="G28" s="225" t="s">
        <v>223</v>
      </c>
      <c r="H28" s="226" t="s">
        <v>223</v>
      </c>
    </row>
    <row r="29" spans="2:8" ht="19.5" x14ac:dyDescent="0.2">
      <c r="B29" s="75" t="s">
        <v>224</v>
      </c>
      <c r="C29" s="227" t="s">
        <v>225</v>
      </c>
      <c r="D29" s="227" t="s">
        <v>225</v>
      </c>
      <c r="E29" s="227" t="s">
        <v>225</v>
      </c>
      <c r="F29" s="227" t="s">
        <v>225</v>
      </c>
      <c r="G29" s="227" t="s">
        <v>225</v>
      </c>
      <c r="H29" s="228" t="s">
        <v>225</v>
      </c>
    </row>
    <row r="30" spans="2:8" ht="15" customHeight="1" x14ac:dyDescent="0.2">
      <c r="B30" s="75" t="s">
        <v>99</v>
      </c>
      <c r="C30" s="225" t="s">
        <v>226</v>
      </c>
      <c r="D30" s="225" t="s">
        <v>226</v>
      </c>
      <c r="E30" s="225" t="s">
        <v>226</v>
      </c>
      <c r="F30" s="225" t="s">
        <v>226</v>
      </c>
      <c r="G30" s="225" t="s">
        <v>226</v>
      </c>
      <c r="H30" s="226" t="s">
        <v>226</v>
      </c>
    </row>
    <row r="31" spans="2:8" ht="15" customHeight="1" x14ac:dyDescent="0.2">
      <c r="B31" s="75" t="s">
        <v>101</v>
      </c>
      <c r="C31" s="225" t="s">
        <v>102</v>
      </c>
      <c r="D31" s="225" t="s">
        <v>102</v>
      </c>
      <c r="E31" s="225" t="s">
        <v>102</v>
      </c>
      <c r="F31" s="225" t="s">
        <v>102</v>
      </c>
      <c r="G31" s="225" t="s">
        <v>102</v>
      </c>
      <c r="H31" s="226" t="s">
        <v>102</v>
      </c>
    </row>
    <row r="32" spans="2:8" s="61" customFormat="1" x14ac:dyDescent="0.2">
      <c r="B32" s="75" t="s">
        <v>103</v>
      </c>
      <c r="C32" s="92">
        <v>345</v>
      </c>
      <c r="D32" s="92">
        <v>345</v>
      </c>
      <c r="E32" s="92">
        <v>345</v>
      </c>
      <c r="F32" s="92">
        <v>345</v>
      </c>
      <c r="G32" s="92">
        <v>345</v>
      </c>
      <c r="H32" s="93">
        <v>345</v>
      </c>
    </row>
    <row r="33" spans="2:8" ht="15" customHeight="1" x14ac:dyDescent="0.2">
      <c r="B33" s="75" t="s">
        <v>104</v>
      </c>
      <c r="C33" s="225" t="s">
        <v>105</v>
      </c>
      <c r="D33" s="225" t="s">
        <v>105</v>
      </c>
      <c r="E33" s="225" t="s">
        <v>105</v>
      </c>
      <c r="F33" s="225" t="s">
        <v>105</v>
      </c>
      <c r="G33" s="225" t="s">
        <v>105</v>
      </c>
      <c r="H33" s="226" t="s">
        <v>105</v>
      </c>
    </row>
    <row r="34" spans="2:8" ht="14.45" customHeight="1" x14ac:dyDescent="0.2">
      <c r="B34" s="75" t="s">
        <v>106</v>
      </c>
      <c r="C34" s="229">
        <v>4</v>
      </c>
      <c r="D34" s="229">
        <v>4</v>
      </c>
      <c r="E34" s="229">
        <v>4</v>
      </c>
      <c r="F34" s="229">
        <v>4</v>
      </c>
      <c r="G34" s="229">
        <v>4</v>
      </c>
      <c r="H34" s="230">
        <v>4</v>
      </c>
    </row>
    <row r="35" spans="2:8" ht="14.45" customHeight="1" thickBot="1" x14ac:dyDescent="0.25">
      <c r="B35" s="75"/>
      <c r="C35" s="225"/>
      <c r="D35" s="225"/>
      <c r="E35" s="225"/>
      <c r="F35" s="225"/>
      <c r="G35" s="225"/>
      <c r="H35" s="226"/>
    </row>
    <row r="36" spans="2:8" ht="17.25" thickTop="1" thickBot="1" x14ac:dyDescent="0.25">
      <c r="B36" s="231" t="s">
        <v>227</v>
      </c>
      <c r="C36" s="232"/>
      <c r="D36" s="232"/>
      <c r="E36" s="232"/>
      <c r="F36" s="232"/>
      <c r="G36" s="232"/>
      <c r="H36" s="233"/>
    </row>
    <row r="37" spans="2:8" ht="15.75" thickTop="1" x14ac:dyDescent="0.2">
      <c r="B37" s="78"/>
      <c r="C37" s="234"/>
      <c r="D37" s="234"/>
      <c r="E37" s="234"/>
      <c r="F37" s="234"/>
      <c r="G37" s="234"/>
      <c r="H37" s="235"/>
    </row>
    <row r="38" spans="2:8" x14ac:dyDescent="0.2">
      <c r="B38" s="78" t="s">
        <v>228</v>
      </c>
      <c r="C38" s="108"/>
      <c r="D38" s="108"/>
      <c r="E38" s="108"/>
      <c r="F38" s="108"/>
      <c r="G38" s="108"/>
      <c r="H38" s="109"/>
    </row>
    <row r="39" spans="2:8" x14ac:dyDescent="0.2">
      <c r="B39" s="78" t="s">
        <v>67</v>
      </c>
      <c r="C39" s="108">
        <v>495100</v>
      </c>
      <c r="D39" s="108">
        <v>498500</v>
      </c>
      <c r="E39" s="108">
        <v>500600</v>
      </c>
      <c r="F39" s="108">
        <v>500600</v>
      </c>
      <c r="G39" s="108">
        <v>502200</v>
      </c>
      <c r="H39" s="109">
        <v>502500</v>
      </c>
    </row>
    <row r="40" spans="2:8" x14ac:dyDescent="0.2">
      <c r="B40" s="78" t="s">
        <v>71</v>
      </c>
      <c r="C40" s="108">
        <v>6410</v>
      </c>
      <c r="D40" s="108">
        <v>6400</v>
      </c>
      <c r="E40" s="108">
        <v>6400</v>
      </c>
      <c r="F40" s="108">
        <v>6400</v>
      </c>
      <c r="G40" s="108">
        <v>6410</v>
      </c>
      <c r="H40" s="109">
        <v>6410</v>
      </c>
    </row>
    <row r="41" spans="2:8" x14ac:dyDescent="0.2">
      <c r="B41" s="78" t="s">
        <v>111</v>
      </c>
      <c r="C41" s="108">
        <v>3170</v>
      </c>
      <c r="D41" s="108">
        <v>3190</v>
      </c>
      <c r="E41" s="108">
        <v>3200</v>
      </c>
      <c r="F41" s="108">
        <v>3200</v>
      </c>
      <c r="G41" s="108">
        <v>3220</v>
      </c>
      <c r="H41" s="109">
        <v>3220</v>
      </c>
    </row>
    <row r="42" spans="2:8" x14ac:dyDescent="0.2">
      <c r="B42" s="78"/>
      <c r="C42" s="108"/>
      <c r="D42" s="108"/>
      <c r="E42" s="108"/>
      <c r="F42" s="108"/>
      <c r="G42" s="108"/>
      <c r="H42" s="109"/>
    </row>
    <row r="43" spans="2:8" x14ac:dyDescent="0.2">
      <c r="B43" s="78" t="s">
        <v>229</v>
      </c>
      <c r="C43" s="108"/>
      <c r="D43" s="108"/>
      <c r="E43" s="108"/>
      <c r="F43" s="108"/>
      <c r="G43" s="108"/>
      <c r="H43" s="109"/>
    </row>
    <row r="44" spans="2:8" x14ac:dyDescent="0.2">
      <c r="B44" s="78" t="s">
        <v>230</v>
      </c>
      <c r="C44" s="108">
        <v>103800</v>
      </c>
      <c r="D44" s="108">
        <v>104200</v>
      </c>
      <c r="E44" s="108">
        <v>103200</v>
      </c>
      <c r="F44" s="108">
        <v>103200</v>
      </c>
      <c r="G44" s="108">
        <v>102900</v>
      </c>
      <c r="H44" s="109">
        <v>107700</v>
      </c>
    </row>
    <row r="45" spans="2:8" x14ac:dyDescent="0.2">
      <c r="B45" s="78" t="s">
        <v>231</v>
      </c>
      <c r="C45" s="108">
        <v>8530</v>
      </c>
      <c r="D45" s="108">
        <v>8540</v>
      </c>
      <c r="E45" s="108">
        <v>8550</v>
      </c>
      <c r="F45" s="108">
        <v>8550</v>
      </c>
      <c r="G45" s="108">
        <v>8600</v>
      </c>
      <c r="H45" s="109">
        <v>8530</v>
      </c>
    </row>
    <row r="46" spans="2:8" x14ac:dyDescent="0.2">
      <c r="B46" s="78" t="s">
        <v>232</v>
      </c>
      <c r="C46" s="108">
        <v>890</v>
      </c>
      <c r="D46" s="108">
        <v>890</v>
      </c>
      <c r="E46" s="108">
        <v>880</v>
      </c>
      <c r="F46" s="108">
        <v>880</v>
      </c>
      <c r="G46" s="108">
        <v>880</v>
      </c>
      <c r="H46" s="109">
        <v>920</v>
      </c>
    </row>
    <row r="47" spans="2:8" x14ac:dyDescent="0.2">
      <c r="B47" s="78"/>
      <c r="C47" s="108"/>
      <c r="D47" s="108"/>
      <c r="E47" s="108"/>
      <c r="F47" s="108"/>
      <c r="G47" s="108"/>
      <c r="H47" s="109"/>
    </row>
    <row r="48" spans="2:8" x14ac:dyDescent="0.2">
      <c r="B48" s="85" t="s">
        <v>233</v>
      </c>
      <c r="C48" s="108"/>
      <c r="D48" s="108"/>
      <c r="E48" s="108"/>
      <c r="F48" s="108"/>
      <c r="G48" s="108"/>
      <c r="H48" s="109"/>
    </row>
    <row r="49" spans="2:8" x14ac:dyDescent="0.2">
      <c r="B49" s="78" t="s">
        <v>67</v>
      </c>
      <c r="C49" s="108">
        <v>221500</v>
      </c>
      <c r="D49" s="108">
        <v>223400</v>
      </c>
      <c r="E49" s="108">
        <v>224400</v>
      </c>
      <c r="F49" s="108">
        <v>224400</v>
      </c>
      <c r="G49" s="108">
        <v>225300</v>
      </c>
      <c r="H49" s="109">
        <v>224900</v>
      </c>
    </row>
    <row r="50" spans="2:8" x14ac:dyDescent="0.2">
      <c r="B50" s="78" t="s">
        <v>71</v>
      </c>
      <c r="C50" s="108">
        <v>7340</v>
      </c>
      <c r="D50" s="108">
        <v>7320</v>
      </c>
      <c r="E50" s="108">
        <v>7320</v>
      </c>
      <c r="F50" s="108">
        <v>7320</v>
      </c>
      <c r="G50" s="108">
        <v>7320</v>
      </c>
      <c r="H50" s="109">
        <v>7340</v>
      </c>
    </row>
    <row r="51" spans="2:8" x14ac:dyDescent="0.2">
      <c r="B51" s="78" t="s">
        <v>111</v>
      </c>
      <c r="C51" s="108">
        <v>1630</v>
      </c>
      <c r="D51" s="108">
        <v>1640</v>
      </c>
      <c r="E51" s="108">
        <v>1640</v>
      </c>
      <c r="F51" s="108">
        <v>1640</v>
      </c>
      <c r="G51" s="108">
        <v>1650</v>
      </c>
      <c r="H51" s="109">
        <v>1650</v>
      </c>
    </row>
    <row r="52" spans="2:8" x14ac:dyDescent="0.2">
      <c r="B52" s="78"/>
      <c r="C52" s="108"/>
      <c r="D52" s="108"/>
      <c r="E52" s="108"/>
      <c r="F52" s="108"/>
      <c r="G52" s="108"/>
      <c r="H52" s="109"/>
    </row>
    <row r="53" spans="2:8" x14ac:dyDescent="0.2">
      <c r="B53" s="78" t="s">
        <v>234</v>
      </c>
      <c r="C53" s="134"/>
      <c r="D53" s="134"/>
      <c r="E53" s="134"/>
      <c r="F53" s="134"/>
      <c r="G53" s="134"/>
      <c r="H53" s="135"/>
    </row>
    <row r="54" spans="2:8" x14ac:dyDescent="0.2">
      <c r="B54" s="78" t="s">
        <v>67</v>
      </c>
      <c r="C54" s="108">
        <v>530000</v>
      </c>
      <c r="D54" s="108">
        <v>532500</v>
      </c>
      <c r="E54" s="108">
        <v>536300</v>
      </c>
      <c r="F54" s="108">
        <v>536300</v>
      </c>
      <c r="G54" s="108">
        <v>544900</v>
      </c>
      <c r="H54" s="109">
        <v>542600</v>
      </c>
    </row>
    <row r="55" spans="2:8" x14ac:dyDescent="0.2">
      <c r="B55" s="78" t="s">
        <v>71</v>
      </c>
      <c r="C55" s="108">
        <v>6390</v>
      </c>
      <c r="D55" s="108">
        <v>6390</v>
      </c>
      <c r="E55" s="108">
        <v>6390</v>
      </c>
      <c r="F55" s="108">
        <v>6390</v>
      </c>
      <c r="G55" s="108">
        <v>6380</v>
      </c>
      <c r="H55" s="109">
        <v>6380</v>
      </c>
    </row>
    <row r="56" spans="2:8" x14ac:dyDescent="0.2">
      <c r="B56" s="78" t="s">
        <v>111</v>
      </c>
      <c r="C56" s="108">
        <v>3390</v>
      </c>
      <c r="D56" s="108">
        <v>3400</v>
      </c>
      <c r="E56" s="108">
        <v>3430</v>
      </c>
      <c r="F56" s="108">
        <v>3430</v>
      </c>
      <c r="G56" s="108">
        <v>3480</v>
      </c>
      <c r="H56" s="109">
        <v>3460</v>
      </c>
    </row>
    <row r="57" spans="2:8" x14ac:dyDescent="0.2">
      <c r="B57" s="78"/>
      <c r="C57" s="108"/>
      <c r="D57" s="108"/>
      <c r="E57" s="108"/>
      <c r="F57" s="108"/>
      <c r="G57" s="108"/>
      <c r="H57" s="109"/>
    </row>
    <row r="58" spans="2:8" x14ac:dyDescent="0.2">
      <c r="B58" s="78" t="s">
        <v>235</v>
      </c>
      <c r="C58" s="134"/>
      <c r="D58" s="134"/>
      <c r="E58" s="134"/>
      <c r="F58" s="134"/>
      <c r="G58" s="134"/>
      <c r="H58" s="135"/>
    </row>
    <row r="59" spans="2:8" x14ac:dyDescent="0.2">
      <c r="B59" s="78" t="s">
        <v>230</v>
      </c>
      <c r="C59" s="108">
        <v>110400</v>
      </c>
      <c r="D59" s="108">
        <v>110900</v>
      </c>
      <c r="E59" s="108">
        <v>108800</v>
      </c>
      <c r="F59" s="108">
        <v>108800</v>
      </c>
      <c r="G59" s="108">
        <v>105600</v>
      </c>
      <c r="H59" s="109">
        <v>111900</v>
      </c>
    </row>
    <row r="60" spans="2:8" x14ac:dyDescent="0.2">
      <c r="B60" s="78" t="s">
        <v>231</v>
      </c>
      <c r="C60" s="108">
        <v>8740</v>
      </c>
      <c r="D60" s="108">
        <v>8740</v>
      </c>
      <c r="E60" s="108">
        <v>8740</v>
      </c>
      <c r="F60" s="108">
        <v>8740</v>
      </c>
      <c r="G60" s="108">
        <v>8700</v>
      </c>
      <c r="H60" s="109">
        <v>8730</v>
      </c>
    </row>
    <row r="61" spans="2:8" x14ac:dyDescent="0.2">
      <c r="B61" s="78" t="s">
        <v>232</v>
      </c>
      <c r="C61" s="108">
        <v>960</v>
      </c>
      <c r="D61" s="108">
        <v>970</v>
      </c>
      <c r="E61" s="108">
        <v>950</v>
      </c>
      <c r="F61" s="108">
        <v>950</v>
      </c>
      <c r="G61" s="108">
        <v>920</v>
      </c>
      <c r="H61" s="109">
        <v>980</v>
      </c>
    </row>
    <row r="62" spans="2:8" x14ac:dyDescent="0.2">
      <c r="B62" s="78"/>
      <c r="C62" s="108"/>
      <c r="D62" s="108"/>
      <c r="E62" s="108"/>
      <c r="F62" s="108"/>
      <c r="G62" s="108"/>
      <c r="H62" s="109"/>
    </row>
    <row r="63" spans="2:8" x14ac:dyDescent="0.2">
      <c r="B63" s="85" t="s">
        <v>236</v>
      </c>
      <c r="C63" s="108"/>
      <c r="D63" s="108"/>
      <c r="E63" s="108"/>
      <c r="F63" s="108"/>
      <c r="G63" s="108"/>
      <c r="H63" s="109"/>
    </row>
    <row r="64" spans="2:8" x14ac:dyDescent="0.2">
      <c r="B64" s="78" t="s">
        <v>67</v>
      </c>
      <c r="C64" s="108">
        <v>196100</v>
      </c>
      <c r="D64" s="108">
        <v>197100</v>
      </c>
      <c r="E64" s="108">
        <v>198400</v>
      </c>
      <c r="F64" s="108">
        <v>198400</v>
      </c>
      <c r="G64" s="108">
        <v>200400</v>
      </c>
      <c r="H64" s="109">
        <v>200000</v>
      </c>
    </row>
    <row r="65" spans="2:8" x14ac:dyDescent="0.2">
      <c r="B65" s="78" t="s">
        <v>71</v>
      </c>
      <c r="C65" s="108">
        <v>7650</v>
      </c>
      <c r="D65" s="108">
        <v>7650</v>
      </c>
      <c r="E65" s="108">
        <v>7630</v>
      </c>
      <c r="F65" s="108">
        <v>7630</v>
      </c>
      <c r="G65" s="108">
        <v>7590</v>
      </c>
      <c r="H65" s="109">
        <v>7620</v>
      </c>
    </row>
    <row r="66" spans="2:8" x14ac:dyDescent="0.2">
      <c r="B66" s="78" t="s">
        <v>111</v>
      </c>
      <c r="C66" s="108">
        <v>1500</v>
      </c>
      <c r="D66" s="108">
        <v>1510</v>
      </c>
      <c r="E66" s="108">
        <v>1510</v>
      </c>
      <c r="F66" s="108">
        <v>1510</v>
      </c>
      <c r="G66" s="108">
        <v>1520</v>
      </c>
      <c r="H66" s="109">
        <v>1520</v>
      </c>
    </row>
    <row r="67" spans="2:8" x14ac:dyDescent="0.2">
      <c r="B67" s="78"/>
      <c r="C67" s="108"/>
      <c r="D67" s="108"/>
      <c r="E67" s="108"/>
      <c r="F67" s="108"/>
      <c r="G67" s="108"/>
      <c r="H67" s="109"/>
    </row>
    <row r="68" spans="2:8" x14ac:dyDescent="0.2">
      <c r="B68" s="78" t="s">
        <v>237</v>
      </c>
      <c r="C68" s="108"/>
      <c r="D68" s="108"/>
      <c r="E68" s="108"/>
      <c r="F68" s="108"/>
      <c r="G68" s="108"/>
      <c r="H68" s="109"/>
    </row>
    <row r="69" spans="2:8" x14ac:dyDescent="0.2">
      <c r="B69" s="78" t="s">
        <v>67</v>
      </c>
      <c r="C69" s="108">
        <v>539200</v>
      </c>
      <c r="D69" s="108">
        <v>542100</v>
      </c>
      <c r="E69" s="108">
        <v>544800</v>
      </c>
      <c r="F69" s="108">
        <v>544800</v>
      </c>
      <c r="G69" s="108">
        <v>546700</v>
      </c>
      <c r="H69" s="109">
        <v>547800</v>
      </c>
    </row>
    <row r="70" spans="2:8" x14ac:dyDescent="0.2">
      <c r="B70" s="78" t="s">
        <v>71</v>
      </c>
      <c r="C70" s="108">
        <v>6360</v>
      </c>
      <c r="D70" s="108">
        <v>6360</v>
      </c>
      <c r="E70" s="108">
        <v>6350</v>
      </c>
      <c r="F70" s="108">
        <v>6350</v>
      </c>
      <c r="G70" s="108">
        <v>6350</v>
      </c>
      <c r="H70" s="109">
        <v>6340</v>
      </c>
    </row>
    <row r="71" spans="2:8" x14ac:dyDescent="0.2">
      <c r="B71" s="78" t="s">
        <v>111</v>
      </c>
      <c r="C71" s="108">
        <v>3430</v>
      </c>
      <c r="D71" s="108">
        <v>3450</v>
      </c>
      <c r="E71" s="108">
        <v>3460</v>
      </c>
      <c r="F71" s="108">
        <v>3460</v>
      </c>
      <c r="G71" s="108">
        <v>3470</v>
      </c>
      <c r="H71" s="109">
        <v>3470</v>
      </c>
    </row>
    <row r="72" spans="2:8" x14ac:dyDescent="0.2">
      <c r="B72" s="78"/>
      <c r="C72" s="108"/>
      <c r="D72" s="108"/>
      <c r="E72" s="108"/>
      <c r="F72" s="108"/>
      <c r="G72" s="108"/>
      <c r="H72" s="109"/>
    </row>
    <row r="73" spans="2:8" x14ac:dyDescent="0.2">
      <c r="B73" s="78" t="s">
        <v>238</v>
      </c>
      <c r="C73" s="134"/>
      <c r="D73" s="134"/>
      <c r="E73" s="134"/>
      <c r="F73" s="134"/>
      <c r="G73" s="134"/>
      <c r="H73" s="135"/>
    </row>
    <row r="74" spans="2:8" x14ac:dyDescent="0.2">
      <c r="B74" s="78" t="s">
        <v>230</v>
      </c>
      <c r="C74" s="108">
        <v>104100</v>
      </c>
      <c r="D74" s="108">
        <v>104200</v>
      </c>
      <c r="E74" s="108">
        <v>102700</v>
      </c>
      <c r="F74" s="108">
        <v>102700</v>
      </c>
      <c r="G74" s="108">
        <v>101600</v>
      </c>
      <c r="H74" s="109">
        <v>106700</v>
      </c>
    </row>
    <row r="75" spans="2:8" x14ac:dyDescent="0.2">
      <c r="B75" s="78" t="s">
        <v>231</v>
      </c>
      <c r="C75" s="108">
        <v>8720</v>
      </c>
      <c r="D75" s="108">
        <v>8720</v>
      </c>
      <c r="E75" s="108">
        <v>8730</v>
      </c>
      <c r="F75" s="108">
        <v>8730</v>
      </c>
      <c r="G75" s="108">
        <v>8710</v>
      </c>
      <c r="H75" s="109">
        <v>8730</v>
      </c>
    </row>
    <row r="76" spans="2:8" x14ac:dyDescent="0.2">
      <c r="B76" s="78" t="s">
        <v>232</v>
      </c>
      <c r="C76" s="108">
        <v>910</v>
      </c>
      <c r="D76" s="108">
        <v>910</v>
      </c>
      <c r="E76" s="108">
        <v>900</v>
      </c>
      <c r="F76" s="108">
        <v>900</v>
      </c>
      <c r="G76" s="108">
        <v>880</v>
      </c>
      <c r="H76" s="109">
        <v>930</v>
      </c>
    </row>
    <row r="77" spans="2:8" x14ac:dyDescent="0.2">
      <c r="B77" s="78"/>
      <c r="C77" s="108"/>
      <c r="D77" s="108"/>
      <c r="E77" s="108"/>
      <c r="F77" s="108"/>
      <c r="G77" s="108"/>
      <c r="H77" s="109"/>
    </row>
    <row r="78" spans="2:8" x14ac:dyDescent="0.2">
      <c r="B78" s="85" t="s">
        <v>239</v>
      </c>
      <c r="C78" s="108"/>
      <c r="D78" s="108"/>
      <c r="E78" s="108"/>
      <c r="F78" s="108"/>
      <c r="G78" s="108"/>
      <c r="H78" s="109"/>
    </row>
    <row r="79" spans="2:8" x14ac:dyDescent="0.2">
      <c r="B79" s="78" t="s">
        <v>67</v>
      </c>
      <c r="C79" s="108">
        <v>197000</v>
      </c>
      <c r="D79" s="108">
        <v>198000</v>
      </c>
      <c r="E79" s="108">
        <v>198700</v>
      </c>
      <c r="F79" s="108">
        <v>198700</v>
      </c>
      <c r="G79" s="108">
        <v>199300</v>
      </c>
      <c r="H79" s="109">
        <v>199500</v>
      </c>
    </row>
    <row r="80" spans="2:8" x14ac:dyDescent="0.2">
      <c r="B80" s="78" t="s">
        <v>71</v>
      </c>
      <c r="C80" s="108">
        <v>7570</v>
      </c>
      <c r="D80" s="108">
        <v>7560</v>
      </c>
      <c r="E80" s="108">
        <v>7550</v>
      </c>
      <c r="F80" s="108">
        <v>7550</v>
      </c>
      <c r="G80" s="108">
        <v>7530</v>
      </c>
      <c r="H80" s="109">
        <v>7540</v>
      </c>
    </row>
    <row r="81" spans="2:8" x14ac:dyDescent="0.2">
      <c r="B81" s="78" t="s">
        <v>111</v>
      </c>
      <c r="C81" s="108">
        <v>1490</v>
      </c>
      <c r="D81" s="108">
        <v>1500</v>
      </c>
      <c r="E81" s="108">
        <v>1500</v>
      </c>
      <c r="F81" s="108">
        <v>1500</v>
      </c>
      <c r="G81" s="108">
        <v>1500</v>
      </c>
      <c r="H81" s="109">
        <v>1500</v>
      </c>
    </row>
    <row r="82" spans="2:8" x14ac:dyDescent="0.2">
      <c r="B82" s="78"/>
      <c r="C82" s="236"/>
      <c r="D82" s="236"/>
      <c r="E82" s="236"/>
      <c r="F82" s="236"/>
      <c r="G82" s="236"/>
      <c r="H82" s="237"/>
    </row>
    <row r="83" spans="2:8" x14ac:dyDescent="0.2">
      <c r="B83" s="78" t="s">
        <v>240</v>
      </c>
      <c r="C83" s="108"/>
      <c r="D83" s="108"/>
      <c r="E83" s="108"/>
      <c r="F83" s="108"/>
      <c r="G83" s="108"/>
      <c r="H83" s="109"/>
    </row>
    <row r="84" spans="2:8" x14ac:dyDescent="0.2">
      <c r="B84" s="78" t="s">
        <v>67</v>
      </c>
      <c r="C84" s="108">
        <v>520400</v>
      </c>
      <c r="D84" s="108">
        <v>532900</v>
      </c>
      <c r="E84" s="108">
        <v>535000</v>
      </c>
      <c r="F84" s="108">
        <v>535000</v>
      </c>
      <c r="G84" s="108">
        <v>536800</v>
      </c>
      <c r="H84" s="109">
        <v>537600</v>
      </c>
    </row>
    <row r="85" spans="2:8" x14ac:dyDescent="0.2">
      <c r="B85" s="78" t="s">
        <v>71</v>
      </c>
      <c r="C85" s="108">
        <v>6300</v>
      </c>
      <c r="D85" s="108">
        <v>6300</v>
      </c>
      <c r="E85" s="108">
        <v>6300</v>
      </c>
      <c r="F85" s="108">
        <v>6300</v>
      </c>
      <c r="G85" s="108">
        <v>6310</v>
      </c>
      <c r="H85" s="109">
        <v>6300</v>
      </c>
    </row>
    <row r="86" spans="2:8" x14ac:dyDescent="0.2">
      <c r="B86" s="78" t="s">
        <v>111</v>
      </c>
      <c r="C86" s="108">
        <v>3280</v>
      </c>
      <c r="D86" s="108">
        <v>3360</v>
      </c>
      <c r="E86" s="108">
        <v>3370</v>
      </c>
      <c r="F86" s="108">
        <v>3370</v>
      </c>
      <c r="G86" s="108">
        <v>3390</v>
      </c>
      <c r="H86" s="109">
        <v>3390</v>
      </c>
    </row>
    <row r="87" spans="2:8" x14ac:dyDescent="0.2">
      <c r="B87" s="78"/>
      <c r="C87" s="108"/>
      <c r="D87" s="108"/>
      <c r="E87" s="108"/>
      <c r="F87" s="108"/>
      <c r="G87" s="108"/>
      <c r="H87" s="109"/>
    </row>
    <row r="88" spans="2:8" x14ac:dyDescent="0.2">
      <c r="B88" s="78" t="s">
        <v>241</v>
      </c>
      <c r="C88" s="134"/>
      <c r="D88" s="134"/>
      <c r="E88" s="134"/>
      <c r="F88" s="134"/>
      <c r="G88" s="134"/>
      <c r="H88" s="135"/>
    </row>
    <row r="89" spans="2:8" x14ac:dyDescent="0.2">
      <c r="B89" s="78" t="s">
        <v>242</v>
      </c>
      <c r="C89" s="108">
        <v>3900</v>
      </c>
      <c r="D89" s="108">
        <v>3900</v>
      </c>
      <c r="E89" s="108">
        <v>3900</v>
      </c>
      <c r="F89" s="108">
        <v>3900</v>
      </c>
      <c r="G89" s="108">
        <v>3900</v>
      </c>
      <c r="H89" s="109">
        <v>3900</v>
      </c>
    </row>
    <row r="90" spans="2:8" x14ac:dyDescent="0.2">
      <c r="B90" s="78" t="s">
        <v>243</v>
      </c>
      <c r="C90" s="108">
        <v>8590</v>
      </c>
      <c r="D90" s="108">
        <v>8580</v>
      </c>
      <c r="E90" s="108">
        <v>8590</v>
      </c>
      <c r="F90" s="108">
        <v>8590</v>
      </c>
      <c r="G90" s="108">
        <v>8600</v>
      </c>
      <c r="H90" s="109">
        <v>8580</v>
      </c>
    </row>
    <row r="91" spans="2:8" x14ac:dyDescent="0.2">
      <c r="B91" s="78"/>
      <c r="C91" s="108"/>
      <c r="D91" s="108"/>
      <c r="E91" s="108"/>
      <c r="F91" s="108"/>
      <c r="G91" s="108"/>
      <c r="H91" s="109"/>
    </row>
    <row r="92" spans="2:8" x14ac:dyDescent="0.2">
      <c r="B92" s="78" t="s">
        <v>244</v>
      </c>
      <c r="C92" s="134"/>
      <c r="D92" s="134"/>
      <c r="E92" s="134"/>
      <c r="F92" s="134"/>
      <c r="G92" s="134"/>
      <c r="H92" s="135"/>
    </row>
    <row r="93" spans="2:8" x14ac:dyDescent="0.2">
      <c r="B93" s="78" t="s">
        <v>230</v>
      </c>
      <c r="C93" s="108">
        <v>99900</v>
      </c>
      <c r="D93" s="108">
        <v>100400</v>
      </c>
      <c r="E93" s="108">
        <v>99400</v>
      </c>
      <c r="F93" s="108">
        <v>99400</v>
      </c>
      <c r="G93" s="108">
        <v>99800</v>
      </c>
      <c r="H93" s="109">
        <v>104400</v>
      </c>
    </row>
    <row r="94" spans="2:8" x14ac:dyDescent="0.2">
      <c r="B94" s="78" t="s">
        <v>231</v>
      </c>
      <c r="C94" s="108">
        <v>8850</v>
      </c>
      <c r="D94" s="108">
        <v>8830</v>
      </c>
      <c r="E94" s="108">
        <v>8830</v>
      </c>
      <c r="F94" s="108">
        <v>8830</v>
      </c>
      <c r="G94" s="108">
        <v>8810</v>
      </c>
      <c r="H94" s="109">
        <v>8860</v>
      </c>
    </row>
    <row r="95" spans="2:8" x14ac:dyDescent="0.2">
      <c r="B95" s="78" t="s">
        <v>232</v>
      </c>
      <c r="C95" s="108">
        <v>880</v>
      </c>
      <c r="D95" s="108">
        <v>890</v>
      </c>
      <c r="E95" s="108">
        <v>880</v>
      </c>
      <c r="F95" s="108">
        <v>880</v>
      </c>
      <c r="G95" s="108">
        <v>880</v>
      </c>
      <c r="H95" s="109">
        <v>920</v>
      </c>
    </row>
    <row r="96" spans="2:8" x14ac:dyDescent="0.2">
      <c r="B96" s="78"/>
      <c r="C96" s="108"/>
      <c r="D96" s="108"/>
      <c r="E96" s="108"/>
      <c r="F96" s="108"/>
      <c r="G96" s="108"/>
      <c r="H96" s="109"/>
    </row>
    <row r="97" spans="2:8" x14ac:dyDescent="0.2">
      <c r="B97" s="85" t="s">
        <v>245</v>
      </c>
      <c r="C97" s="108"/>
      <c r="D97" s="108"/>
      <c r="E97" s="108"/>
      <c r="F97" s="108"/>
      <c r="G97" s="108"/>
      <c r="H97" s="109"/>
    </row>
    <row r="98" spans="2:8" x14ac:dyDescent="0.2">
      <c r="B98" s="78" t="s">
        <v>67</v>
      </c>
      <c r="C98" s="108">
        <v>191500</v>
      </c>
      <c r="D98" s="108">
        <v>192600</v>
      </c>
      <c r="E98" s="108">
        <v>193400</v>
      </c>
      <c r="F98" s="108">
        <v>193400</v>
      </c>
      <c r="G98" s="108">
        <v>194500</v>
      </c>
      <c r="H98" s="109">
        <v>194300</v>
      </c>
    </row>
    <row r="99" spans="2:8" x14ac:dyDescent="0.2">
      <c r="B99" s="78" t="s">
        <v>71</v>
      </c>
      <c r="C99" s="108">
        <v>7540</v>
      </c>
      <c r="D99" s="108">
        <v>7540</v>
      </c>
      <c r="E99" s="108">
        <v>7530</v>
      </c>
      <c r="F99" s="108">
        <v>7530</v>
      </c>
      <c r="G99" s="108">
        <v>7530</v>
      </c>
      <c r="H99" s="109">
        <v>7540</v>
      </c>
    </row>
    <row r="100" spans="2:8" x14ac:dyDescent="0.2">
      <c r="B100" s="78" t="s">
        <v>111</v>
      </c>
      <c r="C100" s="108">
        <v>1440</v>
      </c>
      <c r="D100" s="108">
        <v>1450</v>
      </c>
      <c r="E100" s="108">
        <v>1460</v>
      </c>
      <c r="F100" s="108">
        <v>1460</v>
      </c>
      <c r="G100" s="108">
        <v>1460</v>
      </c>
      <c r="H100" s="109">
        <v>1470</v>
      </c>
    </row>
    <row r="101" spans="2:8" x14ac:dyDescent="0.2">
      <c r="B101" s="78"/>
      <c r="C101" s="108"/>
      <c r="D101" s="108"/>
      <c r="E101" s="108"/>
      <c r="F101" s="108"/>
      <c r="G101" s="108"/>
      <c r="H101" s="109"/>
    </row>
    <row r="102" spans="2:8" x14ac:dyDescent="0.2">
      <c r="B102" s="78" t="s">
        <v>246</v>
      </c>
      <c r="C102" s="108"/>
      <c r="D102" s="108"/>
      <c r="E102" s="108"/>
      <c r="F102" s="108"/>
      <c r="G102" s="108"/>
      <c r="H102" s="109"/>
    </row>
    <row r="103" spans="2:8" x14ac:dyDescent="0.2">
      <c r="B103" s="78" t="s">
        <v>67</v>
      </c>
      <c r="C103" s="108">
        <v>509900</v>
      </c>
      <c r="D103" s="108">
        <v>513300</v>
      </c>
      <c r="E103" s="108">
        <v>514700</v>
      </c>
      <c r="F103" s="108">
        <v>514700</v>
      </c>
      <c r="G103" s="108">
        <v>512300</v>
      </c>
      <c r="H103" s="109">
        <v>517900</v>
      </c>
    </row>
    <row r="104" spans="2:8" x14ac:dyDescent="0.2">
      <c r="B104" s="78" t="s">
        <v>71</v>
      </c>
      <c r="C104" s="108">
        <v>6370</v>
      </c>
      <c r="D104" s="108">
        <v>6360</v>
      </c>
      <c r="E104" s="108">
        <v>6360</v>
      </c>
      <c r="F104" s="108">
        <v>6360</v>
      </c>
      <c r="G104" s="108">
        <v>6370</v>
      </c>
      <c r="H104" s="109">
        <v>6370</v>
      </c>
    </row>
    <row r="105" spans="2:8" x14ac:dyDescent="0.2">
      <c r="B105" s="78" t="s">
        <v>111</v>
      </c>
      <c r="C105" s="108">
        <v>3250</v>
      </c>
      <c r="D105" s="108">
        <v>3260</v>
      </c>
      <c r="E105" s="108">
        <v>3270</v>
      </c>
      <c r="F105" s="108">
        <v>3270</v>
      </c>
      <c r="G105" s="108">
        <v>3260</v>
      </c>
      <c r="H105" s="109">
        <v>3300</v>
      </c>
    </row>
    <row r="106" spans="2:8" x14ac:dyDescent="0.2">
      <c r="B106" s="78"/>
      <c r="C106" s="108"/>
      <c r="D106" s="108"/>
      <c r="E106" s="108"/>
      <c r="F106" s="108"/>
      <c r="G106" s="108"/>
      <c r="H106" s="109"/>
    </row>
    <row r="107" spans="2:8" x14ac:dyDescent="0.2">
      <c r="B107" s="78" t="s">
        <v>247</v>
      </c>
      <c r="C107" s="134"/>
      <c r="D107" s="134"/>
      <c r="E107" s="134"/>
      <c r="F107" s="134"/>
      <c r="G107" s="134"/>
      <c r="H107" s="135"/>
    </row>
    <row r="108" spans="2:8" x14ac:dyDescent="0.2">
      <c r="B108" s="78" t="s">
        <v>230</v>
      </c>
      <c r="C108" s="108">
        <v>103100</v>
      </c>
      <c r="D108" s="108">
        <v>103000</v>
      </c>
      <c r="E108" s="108">
        <v>102200</v>
      </c>
      <c r="F108" s="108">
        <v>102200</v>
      </c>
      <c r="G108" s="108">
        <v>103600</v>
      </c>
      <c r="H108" s="109">
        <v>107200</v>
      </c>
    </row>
    <row r="109" spans="2:8" x14ac:dyDescent="0.2">
      <c r="B109" s="78" t="s">
        <v>231</v>
      </c>
      <c r="C109" s="108">
        <v>8580</v>
      </c>
      <c r="D109" s="108">
        <v>8610</v>
      </c>
      <c r="E109" s="108">
        <v>8590</v>
      </c>
      <c r="F109" s="108">
        <v>8590</v>
      </c>
      <c r="G109" s="108">
        <v>8600</v>
      </c>
      <c r="H109" s="109">
        <v>8590</v>
      </c>
    </row>
    <row r="110" spans="2:8" x14ac:dyDescent="0.2">
      <c r="B110" s="78" t="s">
        <v>232</v>
      </c>
      <c r="C110" s="108">
        <v>880</v>
      </c>
      <c r="D110" s="108">
        <v>890</v>
      </c>
      <c r="E110" s="108">
        <v>880</v>
      </c>
      <c r="F110" s="108">
        <v>880</v>
      </c>
      <c r="G110" s="108">
        <v>890</v>
      </c>
      <c r="H110" s="109">
        <v>920</v>
      </c>
    </row>
    <row r="111" spans="2:8" x14ac:dyDescent="0.2">
      <c r="B111" s="78"/>
      <c r="C111" s="108"/>
      <c r="D111" s="108"/>
      <c r="E111" s="108"/>
      <c r="F111" s="108"/>
      <c r="G111" s="108"/>
      <c r="H111" s="109"/>
    </row>
    <row r="112" spans="2:8" x14ac:dyDescent="0.2">
      <c r="B112" s="85" t="s">
        <v>248</v>
      </c>
      <c r="C112" s="108"/>
      <c r="D112" s="108"/>
      <c r="E112" s="108"/>
      <c r="F112" s="108"/>
      <c r="G112" s="108"/>
      <c r="H112" s="109"/>
    </row>
    <row r="113" spans="2:8" x14ac:dyDescent="0.2">
      <c r="B113" s="78" t="s">
        <v>67</v>
      </c>
      <c r="C113" s="108">
        <v>232100</v>
      </c>
      <c r="D113" s="108">
        <v>233400</v>
      </c>
      <c r="E113" s="108">
        <v>234000</v>
      </c>
      <c r="F113" s="108">
        <v>234000</v>
      </c>
      <c r="G113" s="108">
        <v>232300</v>
      </c>
      <c r="H113" s="109">
        <v>235700</v>
      </c>
    </row>
    <row r="114" spans="2:8" x14ac:dyDescent="0.2">
      <c r="B114" s="78" t="s">
        <v>71</v>
      </c>
      <c r="C114" s="108">
        <v>7130</v>
      </c>
      <c r="D114" s="108">
        <v>7130</v>
      </c>
      <c r="E114" s="108">
        <v>7130</v>
      </c>
      <c r="F114" s="108">
        <v>7130</v>
      </c>
      <c r="G114" s="108">
        <v>7180</v>
      </c>
      <c r="H114" s="109">
        <v>7130</v>
      </c>
    </row>
    <row r="115" spans="2:8" x14ac:dyDescent="0.2">
      <c r="B115" s="78" t="s">
        <v>111</v>
      </c>
      <c r="C115" s="108">
        <v>1650</v>
      </c>
      <c r="D115" s="108">
        <v>1660</v>
      </c>
      <c r="E115" s="108">
        <v>1670</v>
      </c>
      <c r="F115" s="108">
        <v>1670</v>
      </c>
      <c r="G115" s="108">
        <v>1670</v>
      </c>
      <c r="H115" s="109">
        <v>1680</v>
      </c>
    </row>
    <row r="116" spans="2:8" x14ac:dyDescent="0.2">
      <c r="B116" s="78"/>
      <c r="C116" s="236"/>
      <c r="D116" s="236"/>
      <c r="E116" s="236"/>
      <c r="F116" s="236"/>
      <c r="G116" s="236"/>
      <c r="H116" s="237"/>
    </row>
    <row r="117" spans="2:8" x14ac:dyDescent="0.2">
      <c r="B117" s="78" t="s">
        <v>249</v>
      </c>
      <c r="C117" s="134"/>
      <c r="D117" s="134"/>
      <c r="E117" s="134"/>
      <c r="F117" s="134"/>
      <c r="G117" s="134"/>
      <c r="H117" s="135"/>
    </row>
    <row r="118" spans="2:8" x14ac:dyDescent="0.2">
      <c r="B118" s="78" t="s">
        <v>67</v>
      </c>
      <c r="C118" s="108">
        <v>486000</v>
      </c>
      <c r="D118" s="108">
        <v>488300</v>
      </c>
      <c r="E118" s="108">
        <v>486500</v>
      </c>
      <c r="F118" s="108">
        <v>486500</v>
      </c>
      <c r="G118" s="108">
        <v>484700</v>
      </c>
      <c r="H118" s="109">
        <v>501600</v>
      </c>
    </row>
    <row r="119" spans="2:8" x14ac:dyDescent="0.2">
      <c r="B119" s="78" t="s">
        <v>71</v>
      </c>
      <c r="C119" s="108">
        <v>6410</v>
      </c>
      <c r="D119" s="108">
        <v>6410</v>
      </c>
      <c r="E119" s="108">
        <v>6410</v>
      </c>
      <c r="F119" s="108">
        <v>6410</v>
      </c>
      <c r="G119" s="108">
        <v>6440</v>
      </c>
      <c r="H119" s="109">
        <v>6400</v>
      </c>
    </row>
    <row r="120" spans="2:8" x14ac:dyDescent="0.2">
      <c r="B120" s="78" t="s">
        <v>111</v>
      </c>
      <c r="C120" s="108">
        <v>3120</v>
      </c>
      <c r="D120" s="108">
        <v>3130</v>
      </c>
      <c r="E120" s="108">
        <v>3120</v>
      </c>
      <c r="F120" s="108">
        <v>3120</v>
      </c>
      <c r="G120" s="108">
        <v>3120</v>
      </c>
      <c r="H120" s="109">
        <v>3210</v>
      </c>
    </row>
    <row r="121" spans="2:8" x14ac:dyDescent="0.2">
      <c r="B121" s="78"/>
      <c r="C121" s="108"/>
      <c r="D121" s="108"/>
      <c r="E121" s="108"/>
      <c r="F121" s="108"/>
      <c r="G121" s="108"/>
      <c r="H121" s="109"/>
    </row>
    <row r="122" spans="2:8" x14ac:dyDescent="0.2">
      <c r="B122" s="78" t="s">
        <v>250</v>
      </c>
      <c r="C122" s="134"/>
      <c r="D122" s="134"/>
      <c r="E122" s="134"/>
      <c r="F122" s="134"/>
      <c r="G122" s="134"/>
      <c r="H122" s="135"/>
    </row>
    <row r="123" spans="2:8" x14ac:dyDescent="0.2">
      <c r="B123" s="78" t="s">
        <v>242</v>
      </c>
      <c r="C123" s="108">
        <v>28200</v>
      </c>
      <c r="D123" s="108">
        <v>28200</v>
      </c>
      <c r="E123" s="108">
        <v>33000</v>
      </c>
      <c r="F123" s="108">
        <v>33000</v>
      </c>
      <c r="G123" s="108">
        <v>35300</v>
      </c>
      <c r="H123" s="109">
        <v>19100</v>
      </c>
    </row>
    <row r="124" spans="2:8" x14ac:dyDescent="0.2">
      <c r="B124" s="78" t="s">
        <v>251</v>
      </c>
      <c r="C124" s="108">
        <v>6590</v>
      </c>
      <c r="D124" s="108">
        <v>6640</v>
      </c>
      <c r="E124" s="108">
        <v>6400</v>
      </c>
      <c r="F124" s="108">
        <v>6400</v>
      </c>
      <c r="G124" s="108">
        <v>6600</v>
      </c>
      <c r="H124" s="109">
        <v>6420</v>
      </c>
    </row>
    <row r="125" spans="2:8" x14ac:dyDescent="0.2">
      <c r="B125" s="78"/>
      <c r="C125" s="108"/>
      <c r="D125" s="108"/>
      <c r="E125" s="108"/>
      <c r="F125" s="108"/>
      <c r="G125" s="108"/>
      <c r="H125" s="109"/>
    </row>
    <row r="126" spans="2:8" x14ac:dyDescent="0.2">
      <c r="B126" s="78" t="s">
        <v>252</v>
      </c>
      <c r="C126" s="108"/>
      <c r="D126" s="108"/>
      <c r="E126" s="108"/>
      <c r="F126" s="108"/>
      <c r="G126" s="108"/>
      <c r="H126" s="109"/>
    </row>
    <row r="127" spans="2:8" x14ac:dyDescent="0.2">
      <c r="B127" s="78" t="s">
        <v>242</v>
      </c>
      <c r="C127" s="108">
        <v>100400</v>
      </c>
      <c r="D127" s="108">
        <v>100300</v>
      </c>
      <c r="E127" s="108">
        <v>99700</v>
      </c>
      <c r="F127" s="108">
        <v>99700</v>
      </c>
      <c r="G127" s="108">
        <v>98900</v>
      </c>
      <c r="H127" s="109">
        <v>104600</v>
      </c>
    </row>
    <row r="128" spans="2:8" x14ac:dyDescent="0.2">
      <c r="B128" s="78" t="s">
        <v>251</v>
      </c>
      <c r="C128" s="108">
        <v>8660</v>
      </c>
      <c r="D128" s="108">
        <v>8650</v>
      </c>
      <c r="E128" s="108">
        <v>8640</v>
      </c>
      <c r="F128" s="108">
        <v>8640</v>
      </c>
      <c r="G128" s="108">
        <v>8770</v>
      </c>
      <c r="H128" s="109">
        <v>8590</v>
      </c>
    </row>
    <row r="129" spans="2:8" x14ac:dyDescent="0.2">
      <c r="B129" s="78" t="s">
        <v>232</v>
      </c>
      <c r="C129" s="108">
        <v>870</v>
      </c>
      <c r="D129" s="108">
        <v>870</v>
      </c>
      <c r="E129" s="108">
        <v>860</v>
      </c>
      <c r="F129" s="108">
        <v>860</v>
      </c>
      <c r="G129" s="108">
        <v>870</v>
      </c>
      <c r="H129" s="109">
        <v>900</v>
      </c>
    </row>
    <row r="130" spans="2:8" x14ac:dyDescent="0.2">
      <c r="B130" s="78"/>
      <c r="C130" s="108"/>
      <c r="D130" s="108"/>
      <c r="E130" s="108"/>
      <c r="F130" s="108"/>
      <c r="G130" s="108"/>
      <c r="H130" s="109"/>
    </row>
    <row r="131" spans="2:8" x14ac:dyDescent="0.2">
      <c r="B131" s="85" t="s">
        <v>253</v>
      </c>
      <c r="C131" s="108"/>
      <c r="D131" s="108"/>
      <c r="E131" s="108"/>
      <c r="F131" s="108"/>
      <c r="G131" s="108"/>
      <c r="H131" s="109"/>
    </row>
    <row r="132" spans="2:8" x14ac:dyDescent="0.2">
      <c r="B132" s="78" t="s">
        <v>67</v>
      </c>
      <c r="C132" s="108">
        <v>216900</v>
      </c>
      <c r="D132" s="108">
        <v>218300</v>
      </c>
      <c r="E132" s="108">
        <v>217400</v>
      </c>
      <c r="F132" s="108">
        <v>217400</v>
      </c>
      <c r="G132" s="108">
        <v>216500</v>
      </c>
      <c r="H132" s="109">
        <v>224300</v>
      </c>
    </row>
    <row r="133" spans="2:8" x14ac:dyDescent="0.2">
      <c r="B133" s="78" t="s">
        <v>71</v>
      </c>
      <c r="C133" s="108">
        <v>7370</v>
      </c>
      <c r="D133" s="108">
        <v>7350</v>
      </c>
      <c r="E133" s="108">
        <v>7370</v>
      </c>
      <c r="F133" s="108">
        <v>7370</v>
      </c>
      <c r="G133" s="108">
        <v>7400</v>
      </c>
      <c r="H133" s="109">
        <v>7330</v>
      </c>
    </row>
    <row r="134" spans="2:8" x14ac:dyDescent="0.2">
      <c r="B134" s="78" t="s">
        <v>111</v>
      </c>
      <c r="C134" s="108">
        <v>1600</v>
      </c>
      <c r="D134" s="108">
        <v>1600</v>
      </c>
      <c r="E134" s="108">
        <v>1600</v>
      </c>
      <c r="F134" s="108">
        <v>1600</v>
      </c>
      <c r="G134" s="108">
        <v>1600</v>
      </c>
      <c r="H134" s="109">
        <v>1640</v>
      </c>
    </row>
    <row r="135" spans="2:8" x14ac:dyDescent="0.2">
      <c r="B135" s="78"/>
      <c r="C135" s="238"/>
      <c r="D135" s="238"/>
      <c r="E135" s="238"/>
      <c r="F135" s="238"/>
      <c r="G135" s="238"/>
      <c r="H135" s="239"/>
    </row>
    <row r="136" spans="2:8" ht="15.75" x14ac:dyDescent="0.2">
      <c r="B136" s="107" t="s">
        <v>120</v>
      </c>
      <c r="C136" s="238"/>
      <c r="D136" s="238"/>
      <c r="E136" s="238"/>
      <c r="F136" s="238"/>
      <c r="G136" s="238"/>
      <c r="H136" s="239"/>
    </row>
    <row r="137" spans="2:8" x14ac:dyDescent="0.2">
      <c r="B137" s="85"/>
      <c r="C137" s="238"/>
      <c r="D137" s="238"/>
      <c r="E137" s="238"/>
      <c r="F137" s="238"/>
      <c r="G137" s="238"/>
      <c r="H137" s="239"/>
    </row>
    <row r="138" spans="2:8" x14ac:dyDescent="0.2">
      <c r="B138" s="78" t="s">
        <v>254</v>
      </c>
      <c r="C138" s="238">
        <v>3940</v>
      </c>
      <c r="D138" s="238">
        <v>3940</v>
      </c>
      <c r="E138" s="238">
        <v>3940</v>
      </c>
      <c r="F138" s="238">
        <v>3940</v>
      </c>
      <c r="G138" s="238">
        <v>3940</v>
      </c>
      <c r="H138" s="239">
        <v>3940</v>
      </c>
    </row>
    <row r="139" spans="2:8" hidden="1" x14ac:dyDescent="0.2">
      <c r="B139" s="78"/>
      <c r="C139" s="238"/>
      <c r="D139" s="238"/>
      <c r="E139" s="238"/>
      <c r="F139" s="238"/>
      <c r="G139" s="238"/>
      <c r="H139" s="239"/>
    </row>
    <row r="140" spans="2:8" ht="15.75" hidden="1" x14ac:dyDescent="0.2">
      <c r="B140" s="107"/>
      <c r="C140" s="238"/>
      <c r="D140" s="238"/>
      <c r="E140" s="238"/>
      <c r="F140" s="238"/>
      <c r="G140" s="238"/>
      <c r="H140" s="239"/>
    </row>
    <row r="141" spans="2:8" hidden="1" x14ac:dyDescent="0.2">
      <c r="B141" s="78"/>
      <c r="C141" s="238"/>
      <c r="D141" s="238"/>
      <c r="E141" s="238"/>
      <c r="F141" s="238"/>
      <c r="G141" s="238"/>
      <c r="H141" s="239"/>
    </row>
    <row r="142" spans="2:8" hidden="1" x14ac:dyDescent="0.2">
      <c r="B142" s="78"/>
      <c r="C142" s="238"/>
      <c r="D142" s="238"/>
      <c r="E142" s="238"/>
      <c r="F142" s="238"/>
      <c r="G142" s="238"/>
      <c r="H142" s="239"/>
    </row>
    <row r="143" spans="2:8" hidden="1" x14ac:dyDescent="0.2">
      <c r="B143" s="78"/>
      <c r="C143" s="238"/>
      <c r="D143" s="238"/>
      <c r="E143" s="238"/>
      <c r="F143" s="238"/>
      <c r="G143" s="238"/>
      <c r="H143" s="239"/>
    </row>
    <row r="144" spans="2:8" hidden="1" x14ac:dyDescent="0.2">
      <c r="B144" s="78"/>
      <c r="C144" s="238"/>
      <c r="D144" s="238"/>
      <c r="E144" s="238"/>
      <c r="F144" s="238"/>
      <c r="G144" s="238"/>
      <c r="H144" s="239"/>
    </row>
    <row r="145" spans="2:8" hidden="1" x14ac:dyDescent="0.2">
      <c r="B145" s="78"/>
      <c r="C145" s="238"/>
      <c r="D145" s="238"/>
      <c r="E145" s="238"/>
      <c r="F145" s="238"/>
      <c r="G145" s="238"/>
      <c r="H145" s="239"/>
    </row>
    <row r="146" spans="2:8" ht="15.75" hidden="1" x14ac:dyDescent="0.2">
      <c r="B146" s="107"/>
      <c r="C146" s="238"/>
      <c r="D146" s="238"/>
      <c r="E146" s="238"/>
      <c r="F146" s="238"/>
      <c r="G146" s="238"/>
      <c r="H146" s="239"/>
    </row>
    <row r="147" spans="2:8" hidden="1" x14ac:dyDescent="0.2">
      <c r="B147" s="78"/>
      <c r="C147" s="238"/>
      <c r="D147" s="238"/>
      <c r="E147" s="238"/>
      <c r="F147" s="238"/>
      <c r="G147" s="238"/>
      <c r="H147" s="239"/>
    </row>
    <row r="148" spans="2:8" ht="15.75" thickBot="1" x14ac:dyDescent="0.25">
      <c r="B148" s="240"/>
      <c r="C148" s="241"/>
      <c r="D148" s="241"/>
      <c r="E148" s="241"/>
      <c r="F148" s="241"/>
      <c r="G148" s="241"/>
      <c r="H148" s="242"/>
    </row>
    <row r="149" spans="2:8" ht="17.25" thickTop="1" thickBot="1" x14ac:dyDescent="0.25">
      <c r="B149" s="243" t="s">
        <v>123</v>
      </c>
      <c r="C149" s="244"/>
      <c r="D149" s="244"/>
      <c r="E149" s="244"/>
      <c r="F149" s="244"/>
      <c r="G149" s="244"/>
      <c r="H149" s="245"/>
    </row>
    <row r="150" spans="2:8" ht="15.75" thickTop="1" x14ac:dyDescent="0.2">
      <c r="B150" s="78"/>
      <c r="C150" s="134"/>
      <c r="D150" s="134"/>
      <c r="E150" s="134"/>
      <c r="F150" s="134"/>
      <c r="G150" s="134"/>
      <c r="H150" s="135"/>
    </row>
    <row r="151" spans="2:8" s="246" customFormat="1" ht="15.75" x14ac:dyDescent="0.2">
      <c r="B151" s="119" t="s">
        <v>124</v>
      </c>
      <c r="C151" s="120">
        <v>537.01</v>
      </c>
      <c r="D151" s="120">
        <v>549.55999999999995</v>
      </c>
      <c r="E151" s="120">
        <v>567.61</v>
      </c>
      <c r="F151" s="120">
        <v>610.14</v>
      </c>
      <c r="G151" s="120">
        <v>692.83</v>
      </c>
      <c r="H151" s="121">
        <v>686.83</v>
      </c>
    </row>
    <row r="152" spans="2:8" s="118" customFormat="1" ht="15.75" x14ac:dyDescent="0.2">
      <c r="B152" s="122" t="s">
        <v>125</v>
      </c>
      <c r="C152" s="123">
        <v>201.08802968192421</v>
      </c>
      <c r="D152" s="123">
        <v>205.78748550678432</v>
      </c>
      <c r="E152" s="123">
        <v>212.5464638046908</v>
      </c>
      <c r="F152" s="123">
        <v>228.47218940081046</v>
      </c>
      <c r="G152" s="123">
        <v>259.43617363648264</v>
      </c>
      <c r="H152" s="124">
        <v>257.18942184770492</v>
      </c>
    </row>
    <row r="153" spans="2:8" s="118" customFormat="1" ht="15.75" x14ac:dyDescent="0.2">
      <c r="B153" s="122" t="s">
        <v>126</v>
      </c>
      <c r="C153" s="123">
        <v>117.71573621863791</v>
      </c>
      <c r="D153" s="123">
        <v>120.46676969947421</v>
      </c>
      <c r="E153" s="123">
        <v>124.42343538306748</v>
      </c>
      <c r="F153" s="123">
        <v>133.74626039820438</v>
      </c>
      <c r="G153" s="123">
        <v>151.87239255201749</v>
      </c>
      <c r="H153" s="124">
        <v>150.55715742173717</v>
      </c>
    </row>
    <row r="154" spans="2:8" s="118" customFormat="1" ht="15.75" x14ac:dyDescent="0.2">
      <c r="B154" s="122" t="s">
        <v>127</v>
      </c>
      <c r="C154" s="123">
        <v>94.239125078975178</v>
      </c>
      <c r="D154" s="123">
        <v>96.44150682184987</v>
      </c>
      <c r="E154" s="123">
        <v>99.609075782717468</v>
      </c>
      <c r="F154" s="123">
        <v>107.07260530657886</v>
      </c>
      <c r="G154" s="123">
        <v>121.5837564076393</v>
      </c>
      <c r="H154" s="124">
        <v>120.5308248971016</v>
      </c>
    </row>
    <row r="155" spans="2:8" s="118" customFormat="1" ht="15.75" x14ac:dyDescent="0.2">
      <c r="B155" s="122" t="s">
        <v>128</v>
      </c>
      <c r="C155" s="123">
        <v>123.9671090204627</v>
      </c>
      <c r="D155" s="123">
        <v>126.86423797189154</v>
      </c>
      <c r="E155" s="123">
        <v>131.03102502952427</v>
      </c>
      <c r="F155" s="123">
        <v>140.84894489440626</v>
      </c>
      <c r="G155" s="123">
        <v>159.93767740386059</v>
      </c>
      <c r="H155" s="124">
        <v>158.55259583345637</v>
      </c>
    </row>
    <row r="156" spans="2:8" x14ac:dyDescent="0.2">
      <c r="B156" s="78"/>
      <c r="C156" s="81"/>
      <c r="D156" s="81"/>
      <c r="E156" s="81"/>
      <c r="F156" s="81"/>
      <c r="G156" s="81"/>
      <c r="H156" s="82"/>
    </row>
    <row r="157" spans="2:8" s="246" customFormat="1" ht="15.75" x14ac:dyDescent="0.2">
      <c r="B157" s="107" t="s">
        <v>129</v>
      </c>
      <c r="C157" s="120">
        <v>119.91</v>
      </c>
      <c r="D157" s="120">
        <v>120.58999999999999</v>
      </c>
      <c r="E157" s="120">
        <v>121.57999999999998</v>
      </c>
      <c r="F157" s="120">
        <v>124.85999999999999</v>
      </c>
      <c r="G157" s="120">
        <v>180.14000000000001</v>
      </c>
      <c r="H157" s="121">
        <v>131.04</v>
      </c>
    </row>
    <row r="158" spans="2:8" x14ac:dyDescent="0.2">
      <c r="B158" s="125" t="s">
        <v>130</v>
      </c>
      <c r="C158" s="126">
        <v>3.5</v>
      </c>
      <c r="D158" s="126">
        <v>3.5</v>
      </c>
      <c r="E158" s="126">
        <v>3.5</v>
      </c>
      <c r="F158" s="126">
        <v>3.5</v>
      </c>
      <c r="G158" s="126">
        <v>4.55</v>
      </c>
      <c r="H158" s="127">
        <v>3.85</v>
      </c>
    </row>
    <row r="159" spans="2:8" x14ac:dyDescent="0.2">
      <c r="B159" s="125" t="s">
        <v>131</v>
      </c>
      <c r="C159" s="126">
        <v>2.4</v>
      </c>
      <c r="D159" s="126">
        <v>2.4</v>
      </c>
      <c r="E159" s="126">
        <v>2.4</v>
      </c>
      <c r="F159" s="126">
        <v>2.4</v>
      </c>
      <c r="G159" s="126">
        <v>3.12</v>
      </c>
      <c r="H159" s="127">
        <v>2.64</v>
      </c>
    </row>
    <row r="160" spans="2:8" x14ac:dyDescent="0.2">
      <c r="B160" s="125" t="s">
        <v>132</v>
      </c>
      <c r="C160" s="126">
        <v>2.6</v>
      </c>
      <c r="D160" s="126">
        <v>2.6</v>
      </c>
      <c r="E160" s="126">
        <v>2.6</v>
      </c>
      <c r="F160" s="126">
        <v>2.6</v>
      </c>
      <c r="G160" s="126">
        <v>3.38</v>
      </c>
      <c r="H160" s="127">
        <v>2.86</v>
      </c>
    </row>
    <row r="161" spans="2:8" x14ac:dyDescent="0.2">
      <c r="B161" s="125" t="s">
        <v>133</v>
      </c>
      <c r="C161" s="126">
        <v>4.8</v>
      </c>
      <c r="D161" s="126">
        <v>4.8</v>
      </c>
      <c r="E161" s="126">
        <v>4.8</v>
      </c>
      <c r="F161" s="126">
        <v>4.8</v>
      </c>
      <c r="G161" s="126">
        <v>6.24</v>
      </c>
      <c r="H161" s="127">
        <v>5.28</v>
      </c>
    </row>
    <row r="162" spans="2:8" x14ac:dyDescent="0.2">
      <c r="B162" s="125" t="s">
        <v>134</v>
      </c>
      <c r="C162" s="126">
        <v>1</v>
      </c>
      <c r="D162" s="126">
        <v>1</v>
      </c>
      <c r="E162" s="126">
        <v>1</v>
      </c>
      <c r="F162" s="126">
        <v>1</v>
      </c>
      <c r="G162" s="126">
        <v>1.3</v>
      </c>
      <c r="H162" s="127">
        <v>1.1000000000000001</v>
      </c>
    </row>
    <row r="163" spans="2:8" x14ac:dyDescent="0.2">
      <c r="B163" s="125" t="s">
        <v>135</v>
      </c>
      <c r="C163" s="126">
        <v>0.54</v>
      </c>
      <c r="D163" s="126">
        <v>0.54</v>
      </c>
      <c r="E163" s="126">
        <v>0.54</v>
      </c>
      <c r="F163" s="126">
        <v>0.54</v>
      </c>
      <c r="G163" s="126">
        <v>0.7</v>
      </c>
      <c r="H163" s="127">
        <v>0.59</v>
      </c>
    </row>
    <row r="164" spans="2:8" x14ac:dyDescent="0.2">
      <c r="B164" s="125" t="s">
        <v>136</v>
      </c>
      <c r="C164" s="126">
        <v>0</v>
      </c>
      <c r="D164" s="126">
        <v>0</v>
      </c>
      <c r="E164" s="126">
        <v>0</v>
      </c>
      <c r="F164" s="126">
        <v>0</v>
      </c>
      <c r="G164" s="126">
        <v>0</v>
      </c>
      <c r="H164" s="127">
        <v>0</v>
      </c>
    </row>
    <row r="165" spans="2:8" x14ac:dyDescent="0.2">
      <c r="B165" s="125" t="s">
        <v>137</v>
      </c>
      <c r="C165" s="126">
        <v>1.54</v>
      </c>
      <c r="D165" s="126">
        <v>1.54</v>
      </c>
      <c r="E165" s="126">
        <v>1.54</v>
      </c>
      <c r="F165" s="126">
        <v>1.54</v>
      </c>
      <c r="G165" s="126">
        <v>2</v>
      </c>
      <c r="H165" s="127">
        <v>1.69</v>
      </c>
    </row>
    <row r="166" spans="2:8" x14ac:dyDescent="0.2">
      <c r="B166" s="125" t="s">
        <v>138</v>
      </c>
      <c r="C166" s="126">
        <v>1</v>
      </c>
      <c r="D166" s="126">
        <v>1</v>
      </c>
      <c r="E166" s="126">
        <v>1</v>
      </c>
      <c r="F166" s="126">
        <v>1</v>
      </c>
      <c r="G166" s="126">
        <v>1.3</v>
      </c>
      <c r="H166" s="127">
        <v>1.1000000000000001</v>
      </c>
    </row>
    <row r="167" spans="2:8" x14ac:dyDescent="0.2">
      <c r="B167" s="125" t="s">
        <v>139</v>
      </c>
      <c r="C167" s="126">
        <v>18.940000000000001</v>
      </c>
      <c r="D167" s="126">
        <v>18.940000000000001</v>
      </c>
      <c r="E167" s="126">
        <v>18.940000000000001</v>
      </c>
      <c r="F167" s="126">
        <v>18.940000000000001</v>
      </c>
      <c r="G167" s="126">
        <v>61.59</v>
      </c>
      <c r="H167" s="127">
        <v>18.940000000000001</v>
      </c>
    </row>
    <row r="168" spans="2:8" x14ac:dyDescent="0.2">
      <c r="B168" s="125" t="s">
        <v>140</v>
      </c>
      <c r="C168" s="126">
        <v>11</v>
      </c>
      <c r="D168" s="126">
        <v>11</v>
      </c>
      <c r="E168" s="126">
        <v>11</v>
      </c>
      <c r="F168" s="126">
        <v>11</v>
      </c>
      <c r="G168" s="126">
        <v>11</v>
      </c>
      <c r="H168" s="127">
        <v>11</v>
      </c>
    </row>
    <row r="169" spans="2:8" x14ac:dyDescent="0.2">
      <c r="B169" s="125" t="s">
        <v>141</v>
      </c>
      <c r="C169" s="126">
        <v>17.899999999999999</v>
      </c>
      <c r="D169" s="126">
        <v>17.899999999999999</v>
      </c>
      <c r="E169" s="126">
        <v>17.899999999999999</v>
      </c>
      <c r="F169" s="126">
        <v>17.899999999999999</v>
      </c>
      <c r="G169" s="126">
        <v>17.899999999999999</v>
      </c>
      <c r="H169" s="127">
        <v>17.899999999999999</v>
      </c>
    </row>
    <row r="170" spans="2:8" x14ac:dyDescent="0.2">
      <c r="B170" s="125" t="s">
        <v>142</v>
      </c>
      <c r="C170" s="126"/>
      <c r="D170" s="126"/>
      <c r="E170" s="126"/>
      <c r="F170" s="126"/>
      <c r="G170" s="126"/>
      <c r="H170" s="127"/>
    </row>
    <row r="171" spans="2:8" x14ac:dyDescent="0.2">
      <c r="B171" s="125" t="s">
        <v>143</v>
      </c>
      <c r="C171" s="126">
        <v>0.2</v>
      </c>
      <c r="D171" s="126">
        <v>0.2</v>
      </c>
      <c r="E171" s="126">
        <v>0.2</v>
      </c>
      <c r="F171" s="126">
        <v>1.1000000000000001</v>
      </c>
      <c r="G171" s="126">
        <v>1.1000000000000001</v>
      </c>
      <c r="H171" s="127">
        <v>1.1000000000000001</v>
      </c>
    </row>
    <row r="172" spans="2:8" x14ac:dyDescent="0.2">
      <c r="B172" s="125" t="s">
        <v>144</v>
      </c>
      <c r="C172" s="126">
        <v>0.5</v>
      </c>
      <c r="D172" s="126">
        <v>0.5</v>
      </c>
      <c r="E172" s="126">
        <v>0.5</v>
      </c>
      <c r="F172" s="126">
        <v>0.5</v>
      </c>
      <c r="G172" s="126">
        <v>0.65</v>
      </c>
      <c r="H172" s="127">
        <v>0.55000000000000004</v>
      </c>
    </row>
    <row r="173" spans="2:8" x14ac:dyDescent="0.2">
      <c r="B173" s="125" t="s">
        <v>145</v>
      </c>
      <c r="C173" s="126">
        <v>5.45</v>
      </c>
      <c r="D173" s="126">
        <v>5.45</v>
      </c>
      <c r="E173" s="126">
        <v>5.45</v>
      </c>
      <c r="F173" s="126">
        <v>5.45</v>
      </c>
      <c r="G173" s="126">
        <v>5.45</v>
      </c>
      <c r="H173" s="127">
        <v>5.45</v>
      </c>
    </row>
    <row r="174" spans="2:8" x14ac:dyDescent="0.2">
      <c r="B174" s="125" t="s">
        <v>146</v>
      </c>
      <c r="C174" s="126">
        <v>7.24</v>
      </c>
      <c r="D174" s="126">
        <v>7.24</v>
      </c>
      <c r="E174" s="126">
        <v>7.24</v>
      </c>
      <c r="F174" s="126">
        <v>7.24</v>
      </c>
      <c r="G174" s="126">
        <v>7.24</v>
      </c>
      <c r="H174" s="127">
        <v>7.24</v>
      </c>
    </row>
    <row r="175" spans="2:8" x14ac:dyDescent="0.2">
      <c r="B175" s="125" t="s">
        <v>147</v>
      </c>
      <c r="C175" s="126">
        <v>1.1000000000000001</v>
      </c>
      <c r="D175" s="126">
        <v>1.1000000000000001</v>
      </c>
      <c r="E175" s="126">
        <v>1.1000000000000001</v>
      </c>
      <c r="F175" s="126">
        <v>1.1000000000000001</v>
      </c>
      <c r="G175" s="126">
        <v>1.43</v>
      </c>
      <c r="H175" s="127">
        <v>1.21</v>
      </c>
    </row>
    <row r="176" spans="2:8" x14ac:dyDescent="0.2">
      <c r="B176" s="125" t="s">
        <v>148</v>
      </c>
      <c r="C176" s="126">
        <v>6.5</v>
      </c>
      <c r="D176" s="126">
        <v>6.5</v>
      </c>
      <c r="E176" s="126">
        <v>6.5</v>
      </c>
      <c r="F176" s="126">
        <v>6.5</v>
      </c>
      <c r="G176" s="126">
        <v>6.5</v>
      </c>
      <c r="H176" s="127">
        <v>6.5</v>
      </c>
    </row>
    <row r="177" spans="2:148" x14ac:dyDescent="0.2">
      <c r="B177" s="125"/>
      <c r="C177" s="126"/>
      <c r="D177" s="126"/>
      <c r="E177" s="126"/>
      <c r="F177" s="126"/>
      <c r="G177" s="126"/>
      <c r="H177" s="127"/>
    </row>
    <row r="178" spans="2:148" x14ac:dyDescent="0.2">
      <c r="B178" s="125" t="s">
        <v>149</v>
      </c>
      <c r="C178" s="126">
        <v>2.42</v>
      </c>
      <c r="D178" s="126">
        <v>2.4700000000000002</v>
      </c>
      <c r="E178" s="126">
        <v>2.5499999999999998</v>
      </c>
      <c r="F178" s="126">
        <v>2.75</v>
      </c>
      <c r="G178" s="126">
        <v>3.12</v>
      </c>
      <c r="H178" s="127">
        <v>3.09</v>
      </c>
    </row>
    <row r="179" spans="2:148" x14ac:dyDescent="0.2">
      <c r="B179" s="125" t="s">
        <v>150</v>
      </c>
      <c r="C179" s="126">
        <v>31.28</v>
      </c>
      <c r="D179" s="126">
        <v>31.91</v>
      </c>
      <c r="E179" s="126">
        <v>32.82</v>
      </c>
      <c r="F179" s="126">
        <v>35</v>
      </c>
      <c r="G179" s="126">
        <v>41.57</v>
      </c>
      <c r="H179" s="127">
        <v>38.950000000000003</v>
      </c>
    </row>
    <row r="180" spans="2:148" x14ac:dyDescent="0.2">
      <c r="B180" s="125"/>
      <c r="C180" s="128"/>
      <c r="D180" s="128"/>
      <c r="E180" s="128"/>
      <c r="F180" s="128"/>
      <c r="G180" s="128"/>
      <c r="H180" s="129"/>
    </row>
    <row r="181" spans="2:148" ht="15.75" x14ac:dyDescent="0.2">
      <c r="B181" s="107" t="s">
        <v>351</v>
      </c>
      <c r="C181" s="120">
        <v>45.984400000000008</v>
      </c>
      <c r="D181" s="120">
        <v>46.910499999999999</v>
      </c>
      <c r="E181" s="120">
        <v>48.243300000000005</v>
      </c>
      <c r="F181" s="120">
        <v>51.45</v>
      </c>
      <c r="G181" s="120">
        <v>61.107900000000008</v>
      </c>
      <c r="H181" s="121">
        <v>57.250900000000009</v>
      </c>
    </row>
    <row r="182" spans="2:148" x14ac:dyDescent="0.2">
      <c r="B182" s="125" t="s">
        <v>151</v>
      </c>
      <c r="C182" s="128">
        <v>37.590700000000005</v>
      </c>
      <c r="D182" s="128">
        <v>38.469200000000001</v>
      </c>
      <c r="E182" s="128">
        <v>39.732700000000001</v>
      </c>
      <c r="F182" s="128">
        <v>42.709800000000001</v>
      </c>
      <c r="G182" s="128">
        <v>48.498100000000008</v>
      </c>
      <c r="H182" s="129">
        <v>48.078100000000006</v>
      </c>
    </row>
    <row r="183" spans="2:148" x14ac:dyDescent="0.2">
      <c r="B183" s="125" t="s">
        <v>152</v>
      </c>
      <c r="C183" s="128">
        <v>8.3937000000000008</v>
      </c>
      <c r="D183" s="128">
        <v>8.4413</v>
      </c>
      <c r="E183" s="128">
        <v>8.5106000000000002</v>
      </c>
      <c r="F183" s="128">
        <v>8.7401999999999997</v>
      </c>
      <c r="G183" s="128">
        <v>12.609800000000002</v>
      </c>
      <c r="H183" s="129">
        <v>9.1728000000000005</v>
      </c>
    </row>
    <row r="184" spans="2:148" hidden="1" x14ac:dyDescent="0.2">
      <c r="B184" s="125"/>
      <c r="C184" s="128"/>
      <c r="D184" s="128"/>
      <c r="E184" s="128"/>
      <c r="F184" s="128"/>
      <c r="G184" s="128"/>
      <c r="H184" s="129"/>
    </row>
    <row r="185" spans="2:148" x14ac:dyDescent="0.2">
      <c r="B185" s="85"/>
      <c r="C185" s="128"/>
      <c r="D185" s="128"/>
      <c r="E185" s="128"/>
      <c r="F185" s="128"/>
      <c r="G185" s="128"/>
      <c r="H185" s="129"/>
    </row>
    <row r="186" spans="2:148" ht="15.75" x14ac:dyDescent="0.2">
      <c r="B186" s="107" t="s">
        <v>153</v>
      </c>
      <c r="C186" s="132">
        <v>702.90440000000001</v>
      </c>
      <c r="D186" s="132">
        <v>717.06049999999993</v>
      </c>
      <c r="E186" s="132">
        <v>737.43330000000003</v>
      </c>
      <c r="F186" s="132">
        <v>786.45</v>
      </c>
      <c r="G186" s="132">
        <v>934.0779</v>
      </c>
      <c r="H186" s="133">
        <v>875.12090000000001</v>
      </c>
      <c r="I186" s="247"/>
      <c r="K186" s="248"/>
      <c r="L186" s="247"/>
      <c r="M186" s="247"/>
      <c r="N186" s="247"/>
      <c r="O186" s="247"/>
      <c r="P186" s="247"/>
      <c r="Q186" s="247"/>
      <c r="R186" s="247"/>
      <c r="T186" s="248"/>
      <c r="U186" s="247"/>
      <c r="V186" s="247"/>
      <c r="W186" s="247"/>
      <c r="X186" s="247"/>
      <c r="Y186" s="247"/>
      <c r="Z186" s="247"/>
      <c r="AA186" s="247"/>
      <c r="AC186" s="248"/>
      <c r="AD186" s="247"/>
      <c r="AE186" s="247"/>
      <c r="AF186" s="247"/>
      <c r="AG186" s="247"/>
      <c r="AH186" s="247"/>
      <c r="AI186" s="247"/>
      <c r="AJ186" s="247"/>
      <c r="AL186" s="248"/>
      <c r="AM186" s="247"/>
      <c r="AN186" s="247"/>
      <c r="AO186" s="247"/>
      <c r="AP186" s="247"/>
      <c r="AQ186" s="247"/>
      <c r="AR186" s="247"/>
      <c r="AS186" s="247"/>
      <c r="AU186" s="248"/>
      <c r="AV186" s="247"/>
      <c r="AW186" s="247"/>
      <c r="AX186" s="247"/>
      <c r="AY186" s="247"/>
      <c r="AZ186" s="247"/>
      <c r="BA186" s="247"/>
      <c r="BB186" s="247"/>
      <c r="BD186" s="248"/>
      <c r="BE186" s="247"/>
      <c r="BF186" s="247"/>
      <c r="BG186" s="247"/>
      <c r="BH186" s="247"/>
      <c r="BI186" s="247"/>
      <c r="BJ186" s="247"/>
      <c r="BK186" s="247"/>
      <c r="BM186" s="248"/>
      <c r="BN186" s="247"/>
      <c r="BO186" s="247"/>
      <c r="BP186" s="247"/>
      <c r="BQ186" s="247"/>
      <c r="BR186" s="247"/>
      <c r="BS186" s="247"/>
      <c r="BT186" s="247"/>
      <c r="BV186" s="248"/>
      <c r="BW186" s="247"/>
      <c r="BX186" s="247"/>
      <c r="BY186" s="247"/>
      <c r="BZ186" s="247"/>
      <c r="CA186" s="247"/>
      <c r="CB186" s="247"/>
      <c r="CC186" s="247"/>
      <c r="CE186" s="248"/>
      <c r="CF186" s="247"/>
      <c r="CG186" s="247"/>
      <c r="CH186" s="247"/>
      <c r="CI186" s="247"/>
      <c r="CJ186" s="247"/>
      <c r="CK186" s="247"/>
      <c r="CL186" s="247"/>
      <c r="CN186" s="248"/>
      <c r="CO186" s="247"/>
      <c r="CP186" s="247"/>
      <c r="CQ186" s="247"/>
      <c r="CR186" s="247"/>
      <c r="CS186" s="247"/>
      <c r="CT186" s="247"/>
      <c r="CU186" s="247"/>
      <c r="CW186" s="248"/>
      <c r="CX186" s="247"/>
      <c r="CY186" s="247"/>
      <c r="CZ186" s="247"/>
      <c r="DA186" s="247"/>
      <c r="DB186" s="247"/>
      <c r="DC186" s="247"/>
      <c r="DD186" s="247"/>
      <c r="DF186" s="248"/>
      <c r="DG186" s="247"/>
      <c r="DH186" s="247"/>
      <c r="DI186" s="247"/>
      <c r="DJ186" s="247"/>
      <c r="DK186" s="247"/>
      <c r="DL186" s="247"/>
      <c r="DM186" s="247"/>
      <c r="DO186" s="248"/>
      <c r="DP186" s="247"/>
      <c r="DQ186" s="247"/>
      <c r="DR186" s="247"/>
      <c r="DS186" s="247"/>
      <c r="DT186" s="247"/>
      <c r="DU186" s="247"/>
      <c r="DV186" s="247"/>
      <c r="DX186" s="248"/>
      <c r="DY186" s="247"/>
      <c r="DZ186" s="247"/>
      <c r="EA186" s="247"/>
      <c r="EB186" s="247"/>
      <c r="EC186" s="247"/>
      <c r="ED186" s="247"/>
      <c r="EE186" s="247"/>
      <c r="EG186" s="248"/>
      <c r="EH186" s="247"/>
      <c r="EI186" s="247"/>
      <c r="EJ186" s="247"/>
      <c r="EK186" s="247"/>
      <c r="EL186" s="247"/>
      <c r="EM186" s="247"/>
      <c r="EN186" s="247"/>
      <c r="EP186" s="248"/>
      <c r="EQ186" s="247"/>
      <c r="ER186" s="247"/>
    </row>
    <row r="187" spans="2:148" x14ac:dyDescent="0.2">
      <c r="B187" s="85"/>
      <c r="C187" s="134"/>
      <c r="D187" s="134"/>
      <c r="E187" s="134"/>
      <c r="F187" s="134"/>
      <c r="G187" s="134"/>
      <c r="H187" s="135"/>
    </row>
    <row r="188" spans="2:148" ht="15.75" x14ac:dyDescent="0.2">
      <c r="B188" s="107" t="s">
        <v>364</v>
      </c>
      <c r="C188" s="132">
        <v>1080</v>
      </c>
      <c r="D188" s="132">
        <v>1100</v>
      </c>
      <c r="E188" s="132">
        <v>1130</v>
      </c>
      <c r="F188" s="132">
        <v>1220</v>
      </c>
      <c r="G188" s="132">
        <v>1380</v>
      </c>
      <c r="H188" s="133">
        <v>1370</v>
      </c>
    </row>
    <row r="189" spans="2:148" ht="15.75" x14ac:dyDescent="0.2">
      <c r="B189" s="107" t="s">
        <v>365</v>
      </c>
      <c r="C189" s="132">
        <v>1420</v>
      </c>
      <c r="D189" s="132">
        <v>1440</v>
      </c>
      <c r="E189" s="132">
        <v>1470</v>
      </c>
      <c r="F189" s="132">
        <v>1570</v>
      </c>
      <c r="G189" s="132">
        <v>1860</v>
      </c>
      <c r="H189" s="133">
        <v>1740</v>
      </c>
      <c r="I189" s="247"/>
      <c r="K189" s="248"/>
      <c r="L189" s="247"/>
      <c r="M189" s="247"/>
      <c r="N189" s="247"/>
      <c r="O189" s="247"/>
      <c r="P189" s="247"/>
      <c r="Q189" s="247"/>
      <c r="R189" s="247"/>
      <c r="T189" s="248"/>
      <c r="U189" s="247"/>
      <c r="V189" s="247"/>
      <c r="W189" s="247"/>
      <c r="X189" s="247"/>
      <c r="Y189" s="247"/>
      <c r="Z189" s="247"/>
      <c r="AA189" s="247"/>
      <c r="AC189" s="248"/>
      <c r="AD189" s="247"/>
      <c r="AE189" s="247"/>
      <c r="AF189" s="247"/>
      <c r="AG189" s="247"/>
      <c r="AH189" s="247"/>
      <c r="AI189" s="247"/>
      <c r="AJ189" s="247"/>
      <c r="AL189" s="248"/>
      <c r="AM189" s="247"/>
      <c r="AN189" s="247"/>
      <c r="AO189" s="247"/>
      <c r="AP189" s="247"/>
      <c r="AQ189" s="247"/>
      <c r="AR189" s="247"/>
      <c r="AS189" s="247"/>
      <c r="AU189" s="248"/>
      <c r="AV189" s="247"/>
      <c r="AW189" s="247"/>
      <c r="AX189" s="247"/>
      <c r="AY189" s="247"/>
      <c r="AZ189" s="247"/>
      <c r="BA189" s="247"/>
      <c r="BB189" s="247"/>
      <c r="BD189" s="248"/>
      <c r="BE189" s="247"/>
      <c r="BF189" s="247"/>
      <c r="BG189" s="247"/>
      <c r="BH189" s="247"/>
      <c r="BI189" s="247"/>
      <c r="BJ189" s="247"/>
      <c r="BK189" s="247"/>
      <c r="BM189" s="248"/>
      <c r="BN189" s="247"/>
      <c r="BO189" s="247"/>
      <c r="BP189" s="247"/>
      <c r="BQ189" s="247"/>
      <c r="BR189" s="247"/>
      <c r="BS189" s="247"/>
      <c r="BT189" s="247"/>
      <c r="BV189" s="248"/>
      <c r="BW189" s="247"/>
      <c r="BX189" s="247"/>
      <c r="BY189" s="247"/>
      <c r="BZ189" s="247"/>
      <c r="CA189" s="247"/>
      <c r="CB189" s="247"/>
      <c r="CC189" s="247"/>
      <c r="CE189" s="248"/>
      <c r="CF189" s="247"/>
      <c r="CG189" s="247"/>
      <c r="CH189" s="247"/>
      <c r="CI189" s="247"/>
      <c r="CJ189" s="247"/>
      <c r="CK189" s="247"/>
      <c r="CL189" s="247"/>
      <c r="CN189" s="248"/>
      <c r="CO189" s="247"/>
      <c r="CP189" s="247"/>
      <c r="CQ189" s="247"/>
      <c r="CR189" s="247"/>
      <c r="CS189" s="247"/>
      <c r="CT189" s="247"/>
      <c r="CU189" s="247"/>
      <c r="CW189" s="248"/>
      <c r="CX189" s="247"/>
      <c r="CY189" s="247"/>
      <c r="CZ189" s="247"/>
      <c r="DA189" s="247"/>
      <c r="DB189" s="247"/>
      <c r="DC189" s="247"/>
      <c r="DD189" s="247"/>
      <c r="DF189" s="248"/>
      <c r="DG189" s="247"/>
      <c r="DH189" s="247"/>
      <c r="DI189" s="247"/>
      <c r="DJ189" s="247"/>
      <c r="DK189" s="247"/>
      <c r="DL189" s="247"/>
      <c r="DM189" s="247"/>
      <c r="DO189" s="248"/>
      <c r="DP189" s="247"/>
      <c r="DQ189" s="247"/>
      <c r="DR189" s="247"/>
      <c r="DS189" s="247"/>
      <c r="DT189" s="247"/>
      <c r="DU189" s="247"/>
      <c r="DV189" s="247"/>
      <c r="DX189" s="248"/>
      <c r="DY189" s="247"/>
      <c r="DZ189" s="247"/>
      <c r="EA189" s="247"/>
      <c r="EB189" s="247"/>
      <c r="EC189" s="247"/>
      <c r="ED189" s="247"/>
      <c r="EE189" s="247"/>
      <c r="EG189" s="248"/>
      <c r="EH189" s="247"/>
      <c r="EI189" s="247"/>
      <c r="EJ189" s="247"/>
      <c r="EK189" s="247"/>
      <c r="EL189" s="247"/>
      <c r="EM189" s="247"/>
      <c r="EN189" s="247"/>
      <c r="EP189" s="248"/>
      <c r="EQ189" s="247"/>
      <c r="ER189" s="247"/>
    </row>
    <row r="190" spans="2:148" ht="15.75" x14ac:dyDescent="0.2">
      <c r="B190" s="107"/>
      <c r="C190" s="249"/>
      <c r="D190" s="249"/>
      <c r="E190" s="249"/>
      <c r="F190" s="249"/>
      <c r="G190" s="249"/>
      <c r="H190" s="250"/>
      <c r="I190" s="247"/>
      <c r="K190" s="248"/>
      <c r="L190" s="247"/>
      <c r="M190" s="247"/>
      <c r="N190" s="247"/>
      <c r="O190" s="247"/>
      <c r="P190" s="247"/>
      <c r="Q190" s="247"/>
      <c r="R190" s="247"/>
      <c r="T190" s="248"/>
      <c r="U190" s="247"/>
      <c r="V190" s="247"/>
      <c r="W190" s="247"/>
      <c r="X190" s="247"/>
      <c r="Y190" s="247"/>
      <c r="Z190" s="247"/>
      <c r="AA190" s="247"/>
      <c r="AC190" s="248"/>
      <c r="AD190" s="247"/>
      <c r="AE190" s="247"/>
      <c r="AF190" s="247"/>
      <c r="AG190" s="247"/>
      <c r="AH190" s="247"/>
      <c r="AI190" s="247"/>
      <c r="AJ190" s="247"/>
      <c r="AL190" s="248"/>
      <c r="AM190" s="247"/>
      <c r="AN190" s="247"/>
      <c r="AO190" s="247"/>
      <c r="AP190" s="247"/>
      <c r="AQ190" s="247"/>
      <c r="AR190" s="247"/>
      <c r="AS190" s="247"/>
      <c r="AU190" s="248"/>
      <c r="AV190" s="247"/>
      <c r="AW190" s="247"/>
      <c r="AX190" s="247"/>
      <c r="AY190" s="247"/>
      <c r="AZ190" s="247"/>
      <c r="BA190" s="247"/>
      <c r="BB190" s="247"/>
      <c r="BD190" s="248"/>
      <c r="BE190" s="247"/>
      <c r="BF190" s="247"/>
      <c r="BG190" s="247"/>
      <c r="BH190" s="247"/>
      <c r="BI190" s="247"/>
      <c r="BJ190" s="247"/>
      <c r="BK190" s="247"/>
      <c r="BM190" s="248"/>
      <c r="BN190" s="247"/>
      <c r="BO190" s="247"/>
      <c r="BP190" s="247"/>
      <c r="BQ190" s="247"/>
      <c r="BR190" s="247"/>
      <c r="BS190" s="247"/>
      <c r="BT190" s="247"/>
      <c r="BV190" s="248"/>
      <c r="BW190" s="247"/>
      <c r="BX190" s="247"/>
      <c r="BY190" s="247"/>
      <c r="BZ190" s="247"/>
      <c r="CA190" s="247"/>
      <c r="CB190" s="247"/>
      <c r="CC190" s="247"/>
      <c r="CE190" s="248"/>
      <c r="CF190" s="247"/>
      <c r="CG190" s="247"/>
      <c r="CH190" s="247"/>
      <c r="CI190" s="247"/>
      <c r="CJ190" s="247"/>
      <c r="CK190" s="247"/>
      <c r="CL190" s="247"/>
      <c r="CN190" s="248"/>
      <c r="CO190" s="247"/>
      <c r="CP190" s="247"/>
      <c r="CQ190" s="247"/>
      <c r="CR190" s="247"/>
      <c r="CS190" s="247"/>
      <c r="CT190" s="247"/>
      <c r="CU190" s="247"/>
      <c r="CW190" s="248"/>
      <c r="CX190" s="247"/>
      <c r="CY190" s="247"/>
      <c r="CZ190" s="247"/>
      <c r="DA190" s="247"/>
      <c r="DB190" s="247"/>
      <c r="DC190" s="247"/>
      <c r="DD190" s="247"/>
      <c r="DF190" s="248"/>
      <c r="DG190" s="247"/>
      <c r="DH190" s="247"/>
      <c r="DI190" s="247"/>
      <c r="DJ190" s="247"/>
      <c r="DK190" s="247"/>
      <c r="DL190" s="247"/>
      <c r="DM190" s="247"/>
      <c r="DO190" s="248"/>
      <c r="DP190" s="247"/>
      <c r="DQ190" s="247"/>
      <c r="DR190" s="247"/>
      <c r="DS190" s="247"/>
      <c r="DT190" s="247"/>
      <c r="DU190" s="247"/>
      <c r="DV190" s="247"/>
      <c r="DX190" s="248"/>
      <c r="DY190" s="247"/>
      <c r="DZ190" s="247"/>
      <c r="EA190" s="247"/>
      <c r="EB190" s="247"/>
      <c r="EC190" s="247"/>
      <c r="ED190" s="247"/>
      <c r="EE190" s="247"/>
      <c r="EG190" s="248"/>
      <c r="EH190" s="247"/>
      <c r="EI190" s="247"/>
      <c r="EJ190" s="247"/>
      <c r="EK190" s="247"/>
      <c r="EL190" s="247"/>
      <c r="EM190" s="247"/>
      <c r="EN190" s="247"/>
      <c r="EP190" s="248"/>
      <c r="EQ190" s="247"/>
      <c r="ER190" s="247"/>
    </row>
    <row r="191" spans="2:148" ht="15.75" x14ac:dyDescent="0.2">
      <c r="B191" s="107" t="s">
        <v>366</v>
      </c>
      <c r="C191" s="132">
        <v>900</v>
      </c>
      <c r="D191" s="132">
        <v>910</v>
      </c>
      <c r="E191" s="132">
        <v>940</v>
      </c>
      <c r="F191" s="132">
        <v>1010</v>
      </c>
      <c r="G191" s="132">
        <v>1140</v>
      </c>
      <c r="H191" s="133">
        <v>1130</v>
      </c>
    </row>
    <row r="192" spans="2:148" ht="15.75" x14ac:dyDescent="0.2">
      <c r="B192" s="107" t="s">
        <v>367</v>
      </c>
      <c r="C192" s="132">
        <v>1170</v>
      </c>
      <c r="D192" s="132">
        <v>1190</v>
      </c>
      <c r="E192" s="132">
        <v>1220</v>
      </c>
      <c r="F192" s="132">
        <v>1300</v>
      </c>
      <c r="G192" s="132">
        <v>1540</v>
      </c>
      <c r="H192" s="133">
        <v>1430</v>
      </c>
      <c r="I192" s="247"/>
      <c r="K192" s="248"/>
      <c r="L192" s="247"/>
      <c r="M192" s="247"/>
      <c r="N192" s="247"/>
      <c r="O192" s="247"/>
      <c r="P192" s="247"/>
      <c r="Q192" s="247"/>
      <c r="R192" s="247"/>
      <c r="T192" s="248"/>
      <c r="U192" s="247"/>
      <c r="V192" s="247"/>
      <c r="W192" s="247"/>
      <c r="X192" s="247"/>
      <c r="Y192" s="247"/>
      <c r="Z192" s="247"/>
      <c r="AA192" s="247"/>
      <c r="AC192" s="248"/>
      <c r="AD192" s="247"/>
      <c r="AE192" s="247"/>
      <c r="AF192" s="247"/>
      <c r="AG192" s="247"/>
      <c r="AH192" s="247"/>
      <c r="AI192" s="247"/>
      <c r="AJ192" s="247"/>
      <c r="AL192" s="248"/>
      <c r="AM192" s="247"/>
      <c r="AN192" s="247"/>
      <c r="AO192" s="247"/>
      <c r="AP192" s="247"/>
      <c r="AQ192" s="247"/>
      <c r="AR192" s="247"/>
      <c r="AS192" s="247"/>
      <c r="AU192" s="248"/>
      <c r="AV192" s="247"/>
      <c r="AW192" s="247"/>
      <c r="AX192" s="247"/>
      <c r="AY192" s="247"/>
      <c r="AZ192" s="247"/>
      <c r="BA192" s="247"/>
      <c r="BB192" s="247"/>
      <c r="BD192" s="248"/>
      <c r="BE192" s="247"/>
      <c r="BF192" s="247"/>
      <c r="BG192" s="247"/>
      <c r="BH192" s="247"/>
      <c r="BI192" s="247"/>
      <c r="BJ192" s="247"/>
      <c r="BK192" s="247"/>
      <c r="BM192" s="248"/>
      <c r="BN192" s="247"/>
      <c r="BO192" s="247"/>
      <c r="BP192" s="247"/>
      <c r="BQ192" s="247"/>
      <c r="BR192" s="247"/>
      <c r="BS192" s="247"/>
      <c r="BT192" s="247"/>
      <c r="BV192" s="248"/>
      <c r="BW192" s="247"/>
      <c r="BX192" s="247"/>
      <c r="BY192" s="247"/>
      <c r="BZ192" s="247"/>
      <c r="CA192" s="247"/>
      <c r="CB192" s="247"/>
      <c r="CC192" s="247"/>
      <c r="CE192" s="248"/>
      <c r="CF192" s="247"/>
      <c r="CG192" s="247"/>
      <c r="CH192" s="247"/>
      <c r="CI192" s="247"/>
      <c r="CJ192" s="247"/>
      <c r="CK192" s="247"/>
      <c r="CL192" s="247"/>
      <c r="CN192" s="248"/>
      <c r="CO192" s="247"/>
      <c r="CP192" s="247"/>
      <c r="CQ192" s="247"/>
      <c r="CR192" s="247"/>
      <c r="CS192" s="247"/>
      <c r="CT192" s="247"/>
      <c r="CU192" s="247"/>
      <c r="CW192" s="248"/>
      <c r="CX192" s="247"/>
      <c r="CY192" s="247"/>
      <c r="CZ192" s="247"/>
      <c r="DA192" s="247"/>
      <c r="DB192" s="247"/>
      <c r="DC192" s="247"/>
      <c r="DD192" s="247"/>
      <c r="DF192" s="248"/>
      <c r="DG192" s="247"/>
      <c r="DH192" s="247"/>
      <c r="DI192" s="247"/>
      <c r="DJ192" s="247"/>
      <c r="DK192" s="247"/>
      <c r="DL192" s="247"/>
      <c r="DM192" s="247"/>
      <c r="DO192" s="248"/>
      <c r="DP192" s="247"/>
      <c r="DQ192" s="247"/>
      <c r="DR192" s="247"/>
      <c r="DS192" s="247"/>
      <c r="DT192" s="247"/>
      <c r="DU192" s="247"/>
      <c r="DV192" s="247"/>
      <c r="DX192" s="248"/>
      <c r="DY192" s="247"/>
      <c r="DZ192" s="247"/>
      <c r="EA192" s="247"/>
      <c r="EB192" s="247"/>
      <c r="EC192" s="247"/>
      <c r="ED192" s="247"/>
      <c r="EE192" s="247"/>
      <c r="EG192" s="248"/>
      <c r="EH192" s="247"/>
      <c r="EI192" s="247"/>
      <c r="EJ192" s="247"/>
      <c r="EK192" s="247"/>
      <c r="EL192" s="247"/>
      <c r="EM192" s="247"/>
      <c r="EN192" s="247"/>
      <c r="EP192" s="248"/>
      <c r="EQ192" s="247"/>
      <c r="ER192" s="247"/>
    </row>
    <row r="193" spans="2:148" x14ac:dyDescent="0.2">
      <c r="B193" s="85"/>
      <c r="C193" s="251"/>
      <c r="D193" s="251"/>
      <c r="E193" s="251"/>
      <c r="F193" s="251"/>
      <c r="G193" s="251"/>
      <c r="H193" s="252"/>
      <c r="I193" s="247"/>
      <c r="K193" s="248"/>
      <c r="L193" s="247"/>
      <c r="M193" s="247"/>
      <c r="N193" s="247"/>
      <c r="O193" s="247"/>
      <c r="P193" s="247"/>
      <c r="Q193" s="247"/>
      <c r="R193" s="247"/>
      <c r="T193" s="248"/>
      <c r="U193" s="247"/>
      <c r="V193" s="247"/>
      <c r="W193" s="247"/>
      <c r="X193" s="247"/>
      <c r="Y193" s="247"/>
      <c r="Z193" s="247"/>
      <c r="AA193" s="247"/>
      <c r="AC193" s="248"/>
      <c r="AD193" s="247"/>
      <c r="AE193" s="247"/>
      <c r="AF193" s="247"/>
      <c r="AG193" s="247"/>
      <c r="AH193" s="247"/>
      <c r="AI193" s="247"/>
      <c r="AJ193" s="247"/>
      <c r="AL193" s="248"/>
      <c r="AM193" s="247"/>
      <c r="AN193" s="247"/>
      <c r="AO193" s="247"/>
      <c r="AP193" s="247"/>
      <c r="AQ193" s="247"/>
      <c r="AR193" s="247"/>
      <c r="AS193" s="247"/>
      <c r="AU193" s="248"/>
      <c r="AV193" s="247"/>
      <c r="AW193" s="247"/>
      <c r="AX193" s="247"/>
      <c r="AY193" s="247"/>
      <c r="AZ193" s="247"/>
      <c r="BA193" s="247"/>
      <c r="BB193" s="247"/>
      <c r="BD193" s="248"/>
      <c r="BE193" s="247"/>
      <c r="BF193" s="247"/>
      <c r="BG193" s="247"/>
      <c r="BH193" s="247"/>
      <c r="BI193" s="247"/>
      <c r="BJ193" s="247"/>
      <c r="BK193" s="247"/>
      <c r="BM193" s="248"/>
      <c r="BN193" s="247"/>
      <c r="BO193" s="247"/>
      <c r="BP193" s="247"/>
      <c r="BQ193" s="247"/>
      <c r="BR193" s="247"/>
      <c r="BS193" s="247"/>
      <c r="BT193" s="247"/>
      <c r="BV193" s="248"/>
      <c r="BW193" s="247"/>
      <c r="BX193" s="247"/>
      <c r="BY193" s="247"/>
      <c r="BZ193" s="247"/>
      <c r="CA193" s="247"/>
      <c r="CB193" s="247"/>
      <c r="CC193" s="247"/>
      <c r="CE193" s="248"/>
      <c r="CF193" s="247"/>
      <c r="CG193" s="247"/>
      <c r="CH193" s="247"/>
      <c r="CI193" s="247"/>
      <c r="CJ193" s="247"/>
      <c r="CK193" s="247"/>
      <c r="CL193" s="247"/>
      <c r="CN193" s="248"/>
      <c r="CO193" s="247"/>
      <c r="CP193" s="247"/>
      <c r="CQ193" s="247"/>
      <c r="CR193" s="247"/>
      <c r="CS193" s="247"/>
      <c r="CT193" s="247"/>
      <c r="CU193" s="247"/>
      <c r="CW193" s="248"/>
      <c r="CX193" s="247"/>
      <c r="CY193" s="247"/>
      <c r="CZ193" s="247"/>
      <c r="DA193" s="247"/>
      <c r="DB193" s="247"/>
      <c r="DC193" s="247"/>
      <c r="DD193" s="247"/>
      <c r="DF193" s="248"/>
      <c r="DG193" s="247"/>
      <c r="DH193" s="247"/>
      <c r="DI193" s="247"/>
      <c r="DJ193" s="247"/>
      <c r="DK193" s="247"/>
      <c r="DL193" s="247"/>
      <c r="DM193" s="247"/>
      <c r="DO193" s="248"/>
      <c r="DP193" s="247"/>
      <c r="DQ193" s="247"/>
      <c r="DR193" s="247"/>
      <c r="DS193" s="247"/>
      <c r="DT193" s="247"/>
      <c r="DU193" s="247"/>
      <c r="DV193" s="247"/>
      <c r="DX193" s="248"/>
      <c r="DY193" s="247"/>
      <c r="DZ193" s="247"/>
      <c r="EA193" s="247"/>
      <c r="EB193" s="247"/>
      <c r="EC193" s="247"/>
      <c r="ED193" s="247"/>
      <c r="EE193" s="247"/>
      <c r="EG193" s="248"/>
      <c r="EH193" s="247"/>
      <c r="EI193" s="247"/>
      <c r="EJ193" s="247"/>
      <c r="EK193" s="247"/>
      <c r="EL193" s="247"/>
      <c r="EM193" s="247"/>
      <c r="EN193" s="247"/>
      <c r="EP193" s="248"/>
      <c r="EQ193" s="247"/>
      <c r="ER193" s="247"/>
    </row>
    <row r="194" spans="2:148" ht="15.75" x14ac:dyDescent="0.2">
      <c r="B194" s="107" t="s">
        <v>255</v>
      </c>
      <c r="C194" s="251"/>
      <c r="D194" s="251"/>
      <c r="E194" s="251"/>
      <c r="F194" s="251"/>
      <c r="G194" s="251"/>
      <c r="H194" s="252"/>
      <c r="I194" s="247"/>
      <c r="K194" s="248"/>
      <c r="L194" s="247"/>
      <c r="M194" s="247"/>
      <c r="N194" s="247"/>
      <c r="O194" s="247"/>
      <c r="P194" s="247"/>
      <c r="Q194" s="247"/>
      <c r="R194" s="247"/>
      <c r="T194" s="248"/>
      <c r="U194" s="247"/>
      <c r="V194" s="247"/>
      <c r="W194" s="247"/>
      <c r="X194" s="247"/>
      <c r="Y194" s="247"/>
      <c r="Z194" s="247"/>
      <c r="AA194" s="247"/>
      <c r="AC194" s="248"/>
      <c r="AD194" s="247"/>
      <c r="AE194" s="247"/>
      <c r="AF194" s="247"/>
      <c r="AG194" s="247"/>
      <c r="AH194" s="247"/>
      <c r="AI194" s="247"/>
      <c r="AJ194" s="247"/>
      <c r="AL194" s="248"/>
      <c r="AM194" s="247"/>
      <c r="AN194" s="247"/>
      <c r="AO194" s="247"/>
      <c r="AP194" s="247"/>
      <c r="AQ194" s="247"/>
      <c r="AR194" s="247"/>
      <c r="AS194" s="247"/>
      <c r="AU194" s="248"/>
      <c r="AV194" s="247"/>
      <c r="AW194" s="247"/>
      <c r="AX194" s="247"/>
      <c r="AY194" s="247"/>
      <c r="AZ194" s="247"/>
      <c r="BA194" s="247"/>
      <c r="BB194" s="247"/>
      <c r="BD194" s="248"/>
      <c r="BE194" s="247"/>
      <c r="BF194" s="247"/>
      <c r="BG194" s="247"/>
      <c r="BH194" s="247"/>
      <c r="BI194" s="247"/>
      <c r="BJ194" s="247"/>
      <c r="BK194" s="247"/>
      <c r="BM194" s="248"/>
      <c r="BN194" s="247"/>
      <c r="BO194" s="247"/>
      <c r="BP194" s="247"/>
      <c r="BQ194" s="247"/>
      <c r="BR194" s="247"/>
      <c r="BS194" s="247"/>
      <c r="BT194" s="247"/>
      <c r="BV194" s="248"/>
      <c r="BW194" s="247"/>
      <c r="BX194" s="247"/>
      <c r="BY194" s="247"/>
      <c r="BZ194" s="247"/>
      <c r="CA194" s="247"/>
      <c r="CB194" s="247"/>
      <c r="CC194" s="247"/>
      <c r="CE194" s="248"/>
      <c r="CF194" s="247"/>
      <c r="CG194" s="247"/>
      <c r="CH194" s="247"/>
      <c r="CI194" s="247"/>
      <c r="CJ194" s="247"/>
      <c r="CK194" s="247"/>
      <c r="CL194" s="247"/>
      <c r="CN194" s="248"/>
      <c r="CO194" s="247"/>
      <c r="CP194" s="247"/>
      <c r="CQ194" s="247"/>
      <c r="CR194" s="247"/>
      <c r="CS194" s="247"/>
      <c r="CT194" s="247"/>
      <c r="CU194" s="247"/>
      <c r="CW194" s="248"/>
      <c r="CX194" s="247"/>
      <c r="CY194" s="247"/>
      <c r="CZ194" s="247"/>
      <c r="DA194" s="247"/>
      <c r="DB194" s="247"/>
      <c r="DC194" s="247"/>
      <c r="DD194" s="247"/>
      <c r="DF194" s="248"/>
      <c r="DG194" s="247"/>
      <c r="DH194" s="247"/>
      <c r="DI194" s="247"/>
      <c r="DJ194" s="247"/>
      <c r="DK194" s="247"/>
      <c r="DL194" s="247"/>
      <c r="DM194" s="247"/>
      <c r="DO194" s="248"/>
      <c r="DP194" s="247"/>
      <c r="DQ194" s="247"/>
      <c r="DR194" s="247"/>
      <c r="DS194" s="247"/>
      <c r="DT194" s="247"/>
      <c r="DU194" s="247"/>
      <c r="DV194" s="247"/>
      <c r="DX194" s="248"/>
      <c r="DY194" s="247"/>
      <c r="DZ194" s="247"/>
      <c r="EA194" s="247"/>
      <c r="EB194" s="247"/>
      <c r="EC194" s="247"/>
      <c r="ED194" s="247"/>
      <c r="EE194" s="247"/>
      <c r="EG194" s="248"/>
      <c r="EH194" s="247"/>
      <c r="EI194" s="247"/>
      <c r="EJ194" s="247"/>
      <c r="EK194" s="247"/>
      <c r="EL194" s="247"/>
      <c r="EM194" s="247"/>
      <c r="EN194" s="247"/>
      <c r="EP194" s="248"/>
      <c r="EQ194" s="247"/>
      <c r="ER194" s="247"/>
    </row>
    <row r="195" spans="2:148" x14ac:dyDescent="0.2">
      <c r="B195" s="78" t="s">
        <v>157</v>
      </c>
      <c r="C195" s="253">
        <v>2.8285714285714287</v>
      </c>
      <c r="D195" s="253">
        <v>3.1428571428571428</v>
      </c>
      <c r="E195" s="253">
        <v>4.0857142857142854</v>
      </c>
      <c r="F195" s="253">
        <v>4.0857142857142854</v>
      </c>
      <c r="G195" s="253">
        <v>5.3428571428571425</v>
      </c>
      <c r="H195" s="254">
        <v>4.7142857142857144</v>
      </c>
      <c r="I195" s="247"/>
      <c r="K195" s="248"/>
      <c r="L195" s="247"/>
      <c r="M195" s="247"/>
      <c r="N195" s="247"/>
      <c r="O195" s="247"/>
      <c r="P195" s="247"/>
      <c r="Q195" s="247"/>
      <c r="R195" s="247"/>
      <c r="T195" s="248"/>
      <c r="U195" s="247"/>
      <c r="V195" s="247"/>
      <c r="W195" s="247"/>
      <c r="X195" s="247"/>
      <c r="Y195" s="247"/>
      <c r="Z195" s="247"/>
      <c r="AA195" s="247"/>
      <c r="AC195" s="248"/>
      <c r="AD195" s="247"/>
      <c r="AE195" s="247"/>
      <c r="AF195" s="247"/>
      <c r="AG195" s="247"/>
      <c r="AH195" s="247"/>
      <c r="AI195" s="247"/>
      <c r="AJ195" s="247"/>
      <c r="AL195" s="248"/>
      <c r="AM195" s="247"/>
      <c r="AN195" s="247"/>
      <c r="AO195" s="247"/>
      <c r="AP195" s="247"/>
      <c r="AQ195" s="247"/>
      <c r="AR195" s="247"/>
      <c r="AS195" s="247"/>
      <c r="AU195" s="248"/>
      <c r="AV195" s="247"/>
      <c r="AW195" s="247"/>
      <c r="AX195" s="247"/>
      <c r="AY195" s="247"/>
      <c r="AZ195" s="247"/>
      <c r="BA195" s="247"/>
      <c r="BB195" s="247"/>
      <c r="BD195" s="248"/>
      <c r="BE195" s="247"/>
      <c r="BF195" s="247"/>
      <c r="BG195" s="247"/>
      <c r="BH195" s="247"/>
      <c r="BI195" s="247"/>
      <c r="BJ195" s="247"/>
      <c r="BK195" s="247"/>
      <c r="BM195" s="248"/>
      <c r="BN195" s="247"/>
      <c r="BO195" s="247"/>
      <c r="BP195" s="247"/>
      <c r="BQ195" s="247"/>
      <c r="BR195" s="247"/>
      <c r="BS195" s="247"/>
      <c r="BT195" s="247"/>
      <c r="BV195" s="248"/>
      <c r="BW195" s="247"/>
      <c r="BX195" s="247"/>
      <c r="BY195" s="247"/>
      <c r="BZ195" s="247"/>
      <c r="CA195" s="247"/>
      <c r="CB195" s="247"/>
      <c r="CC195" s="247"/>
      <c r="CE195" s="248"/>
      <c r="CF195" s="247"/>
      <c r="CG195" s="247"/>
      <c r="CH195" s="247"/>
      <c r="CI195" s="247"/>
      <c r="CJ195" s="247"/>
      <c r="CK195" s="247"/>
      <c r="CL195" s="247"/>
      <c r="CN195" s="248"/>
      <c r="CO195" s="247"/>
      <c r="CP195" s="247"/>
      <c r="CQ195" s="247"/>
      <c r="CR195" s="247"/>
      <c r="CS195" s="247"/>
      <c r="CT195" s="247"/>
      <c r="CU195" s="247"/>
      <c r="CW195" s="248"/>
      <c r="CX195" s="247"/>
      <c r="CY195" s="247"/>
      <c r="CZ195" s="247"/>
      <c r="DA195" s="247"/>
      <c r="DB195" s="247"/>
      <c r="DC195" s="247"/>
      <c r="DD195" s="247"/>
      <c r="DF195" s="248"/>
      <c r="DG195" s="247"/>
      <c r="DH195" s="247"/>
      <c r="DI195" s="247"/>
      <c r="DJ195" s="247"/>
      <c r="DK195" s="247"/>
      <c r="DL195" s="247"/>
      <c r="DM195" s="247"/>
      <c r="DO195" s="248"/>
      <c r="DP195" s="247"/>
      <c r="DQ195" s="247"/>
      <c r="DR195" s="247"/>
      <c r="DS195" s="247"/>
      <c r="DT195" s="247"/>
      <c r="DU195" s="247"/>
      <c r="DV195" s="247"/>
      <c r="DX195" s="248"/>
      <c r="DY195" s="247"/>
      <c r="DZ195" s="247"/>
      <c r="EA195" s="247"/>
      <c r="EB195" s="247"/>
      <c r="EC195" s="247"/>
      <c r="ED195" s="247"/>
      <c r="EE195" s="247"/>
      <c r="EG195" s="248"/>
      <c r="EH195" s="247"/>
      <c r="EI195" s="247"/>
      <c r="EJ195" s="247"/>
      <c r="EK195" s="247"/>
      <c r="EL195" s="247"/>
      <c r="EM195" s="247"/>
      <c r="EN195" s="247"/>
      <c r="EP195" s="248"/>
      <c r="EQ195" s="247"/>
      <c r="ER195" s="247"/>
    </row>
    <row r="196" spans="2:148" x14ac:dyDescent="0.2">
      <c r="B196" s="78" t="s">
        <v>158</v>
      </c>
      <c r="C196" s="253">
        <v>2.14</v>
      </c>
      <c r="D196" s="253">
        <v>2.14</v>
      </c>
      <c r="E196" s="253">
        <v>2.14</v>
      </c>
      <c r="F196" s="253">
        <v>2.14</v>
      </c>
      <c r="G196" s="253">
        <v>2.14</v>
      </c>
      <c r="H196" s="254">
        <v>2.14</v>
      </c>
      <c r="I196" s="247"/>
      <c r="K196" s="248"/>
      <c r="L196" s="247"/>
      <c r="M196" s="247"/>
      <c r="N196" s="247"/>
      <c r="O196" s="247"/>
      <c r="P196" s="247"/>
      <c r="Q196" s="247"/>
      <c r="R196" s="247"/>
      <c r="T196" s="248"/>
      <c r="U196" s="247"/>
      <c r="V196" s="247"/>
      <c r="W196" s="247"/>
      <c r="X196" s="247"/>
      <c r="Y196" s="247"/>
      <c r="Z196" s="247"/>
      <c r="AA196" s="247"/>
      <c r="AC196" s="248"/>
      <c r="AD196" s="247"/>
      <c r="AE196" s="247"/>
      <c r="AF196" s="247"/>
      <c r="AG196" s="247"/>
      <c r="AH196" s="247"/>
      <c r="AI196" s="247"/>
      <c r="AJ196" s="247"/>
      <c r="AL196" s="248"/>
      <c r="AM196" s="247"/>
      <c r="AN196" s="247"/>
      <c r="AO196" s="247"/>
      <c r="AP196" s="247"/>
      <c r="AQ196" s="247"/>
      <c r="AR196" s="247"/>
      <c r="AS196" s="247"/>
      <c r="AU196" s="248"/>
      <c r="AV196" s="247"/>
      <c r="AW196" s="247"/>
      <c r="AX196" s="247"/>
      <c r="AY196" s="247"/>
      <c r="AZ196" s="247"/>
      <c r="BA196" s="247"/>
      <c r="BB196" s="247"/>
      <c r="BD196" s="248"/>
      <c r="BE196" s="247"/>
      <c r="BF196" s="247"/>
      <c r="BG196" s="247"/>
      <c r="BH196" s="247"/>
      <c r="BI196" s="247"/>
      <c r="BJ196" s="247"/>
      <c r="BK196" s="247"/>
      <c r="BM196" s="248"/>
      <c r="BN196" s="247"/>
      <c r="BO196" s="247"/>
      <c r="BP196" s="247"/>
      <c r="BQ196" s="247"/>
      <c r="BR196" s="247"/>
      <c r="BS196" s="247"/>
      <c r="BT196" s="247"/>
      <c r="BV196" s="248"/>
      <c r="BW196" s="247"/>
      <c r="BX196" s="247"/>
      <c r="BY196" s="247"/>
      <c r="BZ196" s="247"/>
      <c r="CA196" s="247"/>
      <c r="CB196" s="247"/>
      <c r="CC196" s="247"/>
      <c r="CE196" s="248"/>
      <c r="CF196" s="247"/>
      <c r="CG196" s="247"/>
      <c r="CH196" s="247"/>
      <c r="CI196" s="247"/>
      <c r="CJ196" s="247"/>
      <c r="CK196" s="247"/>
      <c r="CL196" s="247"/>
      <c r="CN196" s="248"/>
      <c r="CO196" s="247"/>
      <c r="CP196" s="247"/>
      <c r="CQ196" s="247"/>
      <c r="CR196" s="247"/>
      <c r="CS196" s="247"/>
      <c r="CT196" s="247"/>
      <c r="CU196" s="247"/>
      <c r="CW196" s="248"/>
      <c r="CX196" s="247"/>
      <c r="CY196" s="247"/>
      <c r="CZ196" s="247"/>
      <c r="DA196" s="247"/>
      <c r="DB196" s="247"/>
      <c r="DC196" s="247"/>
      <c r="DD196" s="247"/>
      <c r="DF196" s="248"/>
      <c r="DG196" s="247"/>
      <c r="DH196" s="247"/>
      <c r="DI196" s="247"/>
      <c r="DJ196" s="247"/>
      <c r="DK196" s="247"/>
      <c r="DL196" s="247"/>
      <c r="DM196" s="247"/>
      <c r="DO196" s="248"/>
      <c r="DP196" s="247"/>
      <c r="DQ196" s="247"/>
      <c r="DR196" s="247"/>
      <c r="DS196" s="247"/>
      <c r="DT196" s="247"/>
      <c r="DU196" s="247"/>
      <c r="DV196" s="247"/>
      <c r="DX196" s="248"/>
      <c r="DY196" s="247"/>
      <c r="DZ196" s="247"/>
      <c r="EA196" s="247"/>
      <c r="EB196" s="247"/>
      <c r="EC196" s="247"/>
      <c r="ED196" s="247"/>
      <c r="EE196" s="247"/>
      <c r="EG196" s="248"/>
      <c r="EH196" s="247"/>
      <c r="EI196" s="247"/>
      <c r="EJ196" s="247"/>
      <c r="EK196" s="247"/>
      <c r="EL196" s="247"/>
      <c r="EM196" s="247"/>
      <c r="EN196" s="247"/>
      <c r="EP196" s="248"/>
      <c r="EQ196" s="247"/>
      <c r="ER196" s="247"/>
    </row>
    <row r="197" spans="2:148" s="61" customFormat="1" x14ac:dyDescent="0.2">
      <c r="B197" s="78" t="s">
        <v>159</v>
      </c>
      <c r="C197" s="126">
        <v>0.66</v>
      </c>
      <c r="D197" s="126">
        <v>0.66</v>
      </c>
      <c r="E197" s="126">
        <v>0.66</v>
      </c>
      <c r="F197" s="126">
        <v>0.66</v>
      </c>
      <c r="G197" s="126">
        <v>8.1</v>
      </c>
      <c r="H197" s="127">
        <v>0.78</v>
      </c>
    </row>
    <row r="198" spans="2:148" s="61" customFormat="1" x14ac:dyDescent="0.2">
      <c r="B198" s="78" t="s">
        <v>160</v>
      </c>
      <c r="C198" s="126">
        <v>3.2220599999999999</v>
      </c>
      <c r="D198" s="126">
        <v>3.2973599999999998</v>
      </c>
      <c r="E198" s="126">
        <v>3.4056600000000001</v>
      </c>
      <c r="F198" s="126">
        <v>3.6608399999999999</v>
      </c>
      <c r="G198" s="126">
        <v>4.1569799999999999</v>
      </c>
      <c r="H198" s="127">
        <v>4.1209800000000003</v>
      </c>
    </row>
    <row r="199" spans="2:148" s="61" customFormat="1" x14ac:dyDescent="0.2">
      <c r="B199" s="78"/>
      <c r="C199" s="138"/>
      <c r="D199" s="126"/>
      <c r="E199" s="126"/>
      <c r="F199" s="126"/>
      <c r="G199" s="126"/>
      <c r="H199" s="127"/>
    </row>
    <row r="200" spans="2:148" s="61" customFormat="1" ht="15.75" x14ac:dyDescent="0.2">
      <c r="B200" s="107" t="s">
        <v>353</v>
      </c>
      <c r="C200" s="126"/>
      <c r="D200" s="126"/>
      <c r="E200" s="126"/>
      <c r="F200" s="126"/>
      <c r="G200" s="136"/>
      <c r="H200" s="137"/>
      <c r="I200" s="278"/>
      <c r="K200" s="279"/>
      <c r="L200" s="278"/>
      <c r="M200" s="278"/>
      <c r="N200" s="278"/>
      <c r="O200" s="278"/>
      <c r="P200" s="278"/>
      <c r="Q200" s="278"/>
      <c r="R200" s="278"/>
      <c r="T200" s="279"/>
      <c r="U200" s="278"/>
      <c r="V200" s="278"/>
      <c r="W200" s="278"/>
      <c r="X200" s="278"/>
      <c r="Y200" s="278"/>
      <c r="Z200" s="278"/>
      <c r="AA200" s="278"/>
      <c r="AC200" s="279"/>
      <c r="AD200" s="278"/>
      <c r="AE200" s="278"/>
      <c r="AF200" s="278"/>
      <c r="AG200" s="278"/>
      <c r="AH200" s="278"/>
      <c r="AI200" s="278"/>
      <c r="AJ200" s="278"/>
      <c r="AL200" s="279"/>
      <c r="AM200" s="278"/>
      <c r="AN200" s="278"/>
      <c r="AO200" s="278"/>
      <c r="AP200" s="278"/>
      <c r="AQ200" s="278"/>
      <c r="AR200" s="278"/>
      <c r="AS200" s="278"/>
      <c r="AU200" s="279"/>
      <c r="AV200" s="278"/>
      <c r="AW200" s="278"/>
      <c r="AX200" s="278"/>
      <c r="AY200" s="278"/>
      <c r="AZ200" s="278"/>
      <c r="BA200" s="278"/>
      <c r="BB200" s="278"/>
      <c r="BD200" s="279"/>
      <c r="BE200" s="278"/>
      <c r="BF200" s="278"/>
      <c r="BG200" s="278"/>
      <c r="BH200" s="278"/>
      <c r="BI200" s="278"/>
      <c r="BJ200" s="278"/>
      <c r="BK200" s="278"/>
      <c r="BM200" s="279"/>
      <c r="BN200" s="278"/>
      <c r="BO200" s="278"/>
      <c r="BP200" s="278"/>
      <c r="BQ200" s="278"/>
      <c r="BR200" s="278"/>
      <c r="BS200" s="278"/>
      <c r="BT200" s="278"/>
      <c r="BV200" s="279"/>
      <c r="BW200" s="278"/>
      <c r="BX200" s="278"/>
      <c r="BY200" s="278"/>
      <c r="BZ200" s="278"/>
      <c r="CA200" s="278"/>
      <c r="CB200" s="278"/>
      <c r="CC200" s="278"/>
      <c r="CE200" s="279"/>
      <c r="CF200" s="278"/>
      <c r="CG200" s="278"/>
      <c r="CH200" s="278"/>
      <c r="CI200" s="278"/>
      <c r="CJ200" s="278"/>
      <c r="CK200" s="278"/>
      <c r="CL200" s="278"/>
      <c r="CN200" s="279"/>
      <c r="CO200" s="278"/>
      <c r="CP200" s="278"/>
      <c r="CQ200" s="278"/>
      <c r="CR200" s="278"/>
      <c r="CS200" s="278"/>
      <c r="CT200" s="278"/>
      <c r="CU200" s="278"/>
      <c r="CW200" s="279"/>
      <c r="CX200" s="278"/>
      <c r="CY200" s="278"/>
      <c r="CZ200" s="278"/>
      <c r="DA200" s="278"/>
      <c r="DB200" s="278"/>
      <c r="DC200" s="278"/>
      <c r="DD200" s="278"/>
      <c r="DF200" s="279"/>
      <c r="DG200" s="278"/>
      <c r="DH200" s="278"/>
      <c r="DI200" s="278"/>
      <c r="DJ200" s="278"/>
      <c r="DK200" s="278"/>
      <c r="DL200" s="278"/>
      <c r="DM200" s="278"/>
      <c r="DO200" s="279"/>
      <c r="DP200" s="278"/>
      <c r="DQ200" s="278"/>
      <c r="DR200" s="278"/>
      <c r="DS200" s="278"/>
      <c r="DT200" s="278"/>
      <c r="DU200" s="278"/>
      <c r="DV200" s="278"/>
      <c r="DX200" s="279"/>
      <c r="DY200" s="278"/>
      <c r="DZ200" s="278"/>
      <c r="EA200" s="278"/>
      <c r="EB200" s="278"/>
      <c r="EC200" s="278"/>
      <c r="ED200" s="278"/>
      <c r="EE200" s="278"/>
      <c r="EG200" s="279"/>
      <c r="EH200" s="278"/>
      <c r="EI200" s="278"/>
    </row>
    <row r="201" spans="2:148" s="61" customFormat="1" x14ac:dyDescent="0.2">
      <c r="B201" s="78" t="s">
        <v>157</v>
      </c>
      <c r="C201" s="126">
        <v>2.8285714285714287</v>
      </c>
      <c r="D201" s="126">
        <v>3.1428571428571428</v>
      </c>
      <c r="E201" s="126">
        <v>4.0857142857142854</v>
      </c>
      <c r="F201" s="126">
        <v>4.0857142857142854</v>
      </c>
      <c r="G201" s="126">
        <v>5.3428571428571425</v>
      </c>
      <c r="H201" s="127">
        <v>4.7142857142857144</v>
      </c>
    </row>
    <row r="202" spans="2:148" s="61" customFormat="1" x14ac:dyDescent="0.2">
      <c r="B202" s="78" t="s">
        <v>158</v>
      </c>
      <c r="C202" s="126">
        <v>2.14</v>
      </c>
      <c r="D202" s="126">
        <v>2.14</v>
      </c>
      <c r="E202" s="126">
        <v>2.14</v>
      </c>
      <c r="F202" s="126">
        <v>2.14</v>
      </c>
      <c r="G202" s="126">
        <v>2.14</v>
      </c>
      <c r="H202" s="127">
        <v>2.14</v>
      </c>
    </row>
    <row r="203" spans="2:148" s="61" customFormat="1" x14ac:dyDescent="0.2">
      <c r="B203" s="78" t="s">
        <v>207</v>
      </c>
      <c r="C203" s="126">
        <v>0.66</v>
      </c>
      <c r="D203" s="126">
        <v>0.66</v>
      </c>
      <c r="E203" s="126">
        <v>0.66</v>
      </c>
      <c r="F203" s="126">
        <v>0.66</v>
      </c>
      <c r="G203" s="126">
        <v>8.1</v>
      </c>
      <c r="H203" s="127">
        <v>0.78</v>
      </c>
    </row>
    <row r="204" spans="2:148" s="61" customFormat="1" x14ac:dyDescent="0.2">
      <c r="B204" s="78" t="s">
        <v>160</v>
      </c>
      <c r="C204" s="126">
        <v>3.2220599999999999</v>
      </c>
      <c r="D204" s="126">
        <v>3.2973599999999998</v>
      </c>
      <c r="E204" s="126">
        <v>3.4056600000000001</v>
      </c>
      <c r="F204" s="126">
        <v>3.6608399999999999</v>
      </c>
      <c r="G204" s="126">
        <v>4.1569799999999999</v>
      </c>
      <c r="H204" s="127">
        <v>4.1209800000000003</v>
      </c>
    </row>
    <row r="205" spans="2:148" x14ac:dyDescent="0.2">
      <c r="B205" s="85"/>
      <c r="C205" s="142"/>
      <c r="D205" s="142"/>
      <c r="E205" s="142"/>
      <c r="F205" s="142"/>
      <c r="G205" s="142"/>
      <c r="H205" s="143"/>
    </row>
    <row r="206" spans="2:148" ht="15.75" x14ac:dyDescent="0.2">
      <c r="B206" s="107" t="s">
        <v>256</v>
      </c>
      <c r="C206" s="142"/>
      <c r="D206" s="142"/>
      <c r="E206" s="142"/>
      <c r="F206" s="142"/>
      <c r="G206" s="142"/>
      <c r="H206" s="143"/>
    </row>
    <row r="207" spans="2:148" x14ac:dyDescent="0.2">
      <c r="B207" s="85" t="s">
        <v>368</v>
      </c>
      <c r="C207" s="255">
        <v>600</v>
      </c>
      <c r="D207" s="255">
        <v>600</v>
      </c>
      <c r="E207" s="255">
        <v>600</v>
      </c>
      <c r="F207" s="255">
        <v>600</v>
      </c>
      <c r="G207" s="255">
        <v>600</v>
      </c>
      <c r="H207" s="256">
        <v>600</v>
      </c>
    </row>
    <row r="208" spans="2:148" s="61" customFormat="1" x14ac:dyDescent="0.2">
      <c r="B208" s="141" t="s">
        <v>163</v>
      </c>
      <c r="C208" s="123">
        <v>16200</v>
      </c>
      <c r="D208" s="123">
        <v>16200</v>
      </c>
      <c r="E208" s="123">
        <v>16200</v>
      </c>
      <c r="F208" s="123">
        <v>16200</v>
      </c>
      <c r="G208" s="123">
        <v>16200</v>
      </c>
      <c r="H208" s="124">
        <v>16200</v>
      </c>
    </row>
    <row r="209" spans="2:8" x14ac:dyDescent="0.2">
      <c r="B209" s="85" t="s">
        <v>369</v>
      </c>
      <c r="C209" s="142">
        <v>1.1000000000000001</v>
      </c>
      <c r="D209" s="142">
        <v>1.1000000000000001</v>
      </c>
      <c r="E209" s="142">
        <v>1.1000000000000001</v>
      </c>
      <c r="F209" s="142">
        <v>1.1000000000000001</v>
      </c>
      <c r="G209" s="142">
        <v>1.1000000000000001</v>
      </c>
      <c r="H209" s="143">
        <v>1.1000000000000001</v>
      </c>
    </row>
    <row r="210" spans="2:8" hidden="1" x14ac:dyDescent="0.2">
      <c r="B210" s="85"/>
      <c r="C210" s="142"/>
      <c r="D210" s="142"/>
      <c r="E210" s="142"/>
      <c r="F210" s="142"/>
      <c r="G210" s="142"/>
      <c r="H210" s="143"/>
    </row>
    <row r="211" spans="2:8" x14ac:dyDescent="0.2">
      <c r="B211" s="85"/>
      <c r="C211" s="255"/>
      <c r="D211" s="255"/>
      <c r="E211" s="255"/>
      <c r="F211" s="255"/>
      <c r="G211" s="255"/>
      <c r="H211" s="256"/>
    </row>
    <row r="212" spans="2:8" ht="15.75" x14ac:dyDescent="0.2">
      <c r="B212" s="107" t="s">
        <v>165</v>
      </c>
      <c r="C212" s="255"/>
      <c r="D212" s="255"/>
      <c r="E212" s="255"/>
      <c r="F212" s="255"/>
      <c r="G212" s="255"/>
      <c r="H212" s="256"/>
    </row>
    <row r="213" spans="2:8" x14ac:dyDescent="0.2">
      <c r="B213" s="78" t="s">
        <v>370</v>
      </c>
      <c r="C213" s="142">
        <v>1.55</v>
      </c>
      <c r="D213" s="142">
        <v>1.55</v>
      </c>
      <c r="E213" s="142">
        <v>1.55</v>
      </c>
      <c r="F213" s="142">
        <v>1.55</v>
      </c>
      <c r="G213" s="142">
        <v>1.57</v>
      </c>
      <c r="H213" s="143">
        <v>1.54</v>
      </c>
    </row>
    <row r="214" spans="2:8" x14ac:dyDescent="0.2">
      <c r="B214" s="122" t="s">
        <v>257</v>
      </c>
      <c r="C214" s="142">
        <v>0.01</v>
      </c>
      <c r="D214" s="142">
        <v>0.01</v>
      </c>
      <c r="E214" s="142">
        <v>0.01</v>
      </c>
      <c r="F214" s="142">
        <v>0.01</v>
      </c>
      <c r="G214" s="142">
        <v>0.03</v>
      </c>
      <c r="H214" s="143">
        <v>0.01</v>
      </c>
    </row>
    <row r="215" spans="2:8" x14ac:dyDescent="0.2">
      <c r="B215" s="144" t="s">
        <v>168</v>
      </c>
      <c r="C215" s="142">
        <v>0.32</v>
      </c>
      <c r="D215" s="142">
        <v>0.32</v>
      </c>
      <c r="E215" s="142">
        <v>0.32</v>
      </c>
      <c r="F215" s="142">
        <v>0.32</v>
      </c>
      <c r="G215" s="142">
        <v>0.32</v>
      </c>
      <c r="H215" s="143">
        <v>0.32</v>
      </c>
    </row>
    <row r="216" spans="2:8" x14ac:dyDescent="0.2">
      <c r="B216" s="144" t="s">
        <v>258</v>
      </c>
      <c r="C216" s="142">
        <v>1.22</v>
      </c>
      <c r="D216" s="142">
        <v>1.22</v>
      </c>
      <c r="E216" s="142">
        <v>1.22</v>
      </c>
      <c r="F216" s="142">
        <v>1.22</v>
      </c>
      <c r="G216" s="142">
        <v>1.22</v>
      </c>
      <c r="H216" s="143">
        <v>1.21</v>
      </c>
    </row>
    <row r="217" spans="2:8" x14ac:dyDescent="0.2">
      <c r="B217" s="122"/>
      <c r="C217" s="142"/>
      <c r="D217" s="142"/>
      <c r="E217" s="142"/>
      <c r="F217" s="142"/>
      <c r="G217" s="142"/>
      <c r="H217" s="143"/>
    </row>
    <row r="218" spans="2:8" x14ac:dyDescent="0.2">
      <c r="B218" s="257" t="s">
        <v>371</v>
      </c>
      <c r="C218" s="142">
        <v>0.6</v>
      </c>
      <c r="D218" s="142">
        <v>0.6</v>
      </c>
      <c r="E218" s="142">
        <v>0.6</v>
      </c>
      <c r="F218" s="142">
        <v>0.6</v>
      </c>
      <c r="G218" s="142">
        <v>0.6</v>
      </c>
      <c r="H218" s="143">
        <v>0.6</v>
      </c>
    </row>
    <row r="219" spans="2:8" x14ac:dyDescent="0.2">
      <c r="B219" s="122" t="s">
        <v>257</v>
      </c>
      <c r="C219" s="142">
        <v>0.03</v>
      </c>
      <c r="D219" s="142">
        <v>0.03</v>
      </c>
      <c r="E219" s="142">
        <v>0.03</v>
      </c>
      <c r="F219" s="142">
        <v>0.03</v>
      </c>
      <c r="G219" s="142">
        <v>0.06</v>
      </c>
      <c r="H219" s="143">
        <v>0.03</v>
      </c>
    </row>
    <row r="220" spans="2:8" x14ac:dyDescent="0.2">
      <c r="B220" s="144" t="s">
        <v>259</v>
      </c>
      <c r="C220" s="142">
        <v>0.13</v>
      </c>
      <c r="D220" s="142">
        <v>0.13</v>
      </c>
      <c r="E220" s="142">
        <v>0.13</v>
      </c>
      <c r="F220" s="142">
        <v>0.13</v>
      </c>
      <c r="G220" s="142">
        <v>0.13</v>
      </c>
      <c r="H220" s="143">
        <v>0.13</v>
      </c>
    </row>
    <row r="221" spans="2:8" x14ac:dyDescent="0.2">
      <c r="B221" s="144" t="s">
        <v>258</v>
      </c>
      <c r="C221" s="142">
        <v>0.43999999999999995</v>
      </c>
      <c r="D221" s="142">
        <v>0.43999999999999995</v>
      </c>
      <c r="E221" s="142">
        <v>0.43999999999999995</v>
      </c>
      <c r="F221" s="142">
        <v>0.43999999999999995</v>
      </c>
      <c r="G221" s="142">
        <v>0.41000000000000003</v>
      </c>
      <c r="H221" s="143">
        <v>0.43999999999999995</v>
      </c>
    </row>
    <row r="222" spans="2:8" x14ac:dyDescent="0.2">
      <c r="B222" s="144"/>
      <c r="C222" s="142"/>
      <c r="D222" s="142"/>
      <c r="E222" s="142"/>
      <c r="F222" s="142"/>
      <c r="G222" s="142"/>
      <c r="H222" s="143"/>
    </row>
    <row r="223" spans="2:8" ht="15.75" x14ac:dyDescent="0.2">
      <c r="B223" s="107" t="s">
        <v>170</v>
      </c>
      <c r="C223" s="255"/>
      <c r="D223" s="255"/>
      <c r="E223" s="255"/>
      <c r="F223" s="255"/>
      <c r="G223" s="255"/>
      <c r="H223" s="256"/>
    </row>
    <row r="224" spans="2:8" x14ac:dyDescent="0.2">
      <c r="B224" s="78" t="s">
        <v>370</v>
      </c>
      <c r="C224" s="142">
        <v>1.7</v>
      </c>
      <c r="D224" s="142">
        <v>1.7</v>
      </c>
      <c r="E224" s="142">
        <v>1.7</v>
      </c>
      <c r="F224" s="142">
        <v>1.7</v>
      </c>
      <c r="G224" s="142">
        <v>2.09</v>
      </c>
      <c r="H224" s="143">
        <v>1.73</v>
      </c>
    </row>
    <row r="225" spans="2:8" x14ac:dyDescent="0.2">
      <c r="B225" s="122" t="s">
        <v>257</v>
      </c>
      <c r="C225" s="142">
        <v>0</v>
      </c>
      <c r="D225" s="142">
        <v>0</v>
      </c>
      <c r="E225" s="142">
        <v>0</v>
      </c>
      <c r="F225" s="142">
        <v>0</v>
      </c>
      <c r="G225" s="142">
        <v>0.4</v>
      </c>
      <c r="H225" s="143">
        <v>0.03</v>
      </c>
    </row>
    <row r="226" spans="2:8" x14ac:dyDescent="0.2">
      <c r="B226" s="144" t="s">
        <v>168</v>
      </c>
      <c r="C226" s="142">
        <v>0.5</v>
      </c>
      <c r="D226" s="142">
        <v>0.5</v>
      </c>
      <c r="E226" s="142">
        <v>0.5</v>
      </c>
      <c r="F226" s="142">
        <v>0.5</v>
      </c>
      <c r="G226" s="142">
        <v>0.46</v>
      </c>
      <c r="H226" s="143">
        <v>0.48</v>
      </c>
    </row>
    <row r="227" spans="2:8" x14ac:dyDescent="0.2">
      <c r="B227" s="144" t="s">
        <v>258</v>
      </c>
      <c r="C227" s="142">
        <v>1.2</v>
      </c>
      <c r="D227" s="142">
        <v>1.2</v>
      </c>
      <c r="E227" s="142">
        <v>1.2</v>
      </c>
      <c r="F227" s="142">
        <v>1.2</v>
      </c>
      <c r="G227" s="142">
        <v>1.23</v>
      </c>
      <c r="H227" s="143">
        <v>1.22</v>
      </c>
    </row>
    <row r="228" spans="2:8" x14ac:dyDescent="0.2">
      <c r="B228" s="122"/>
      <c r="C228" s="142"/>
      <c r="D228" s="142"/>
      <c r="E228" s="142"/>
      <c r="F228" s="142"/>
      <c r="G228" s="142"/>
      <c r="H228" s="143"/>
    </row>
    <row r="229" spans="2:8" x14ac:dyDescent="0.2">
      <c r="B229" s="257" t="s">
        <v>371</v>
      </c>
      <c r="C229" s="142" t="s">
        <v>208</v>
      </c>
      <c r="D229" s="142" t="s">
        <v>208</v>
      </c>
      <c r="E229" s="142" t="s">
        <v>208</v>
      </c>
      <c r="F229" s="142" t="s">
        <v>208</v>
      </c>
      <c r="G229" s="142" t="s">
        <v>208</v>
      </c>
      <c r="H229" s="143" t="s">
        <v>208</v>
      </c>
    </row>
    <row r="230" spans="2:8" x14ac:dyDescent="0.2">
      <c r="B230" s="122" t="s">
        <v>257</v>
      </c>
      <c r="C230" s="142" t="s">
        <v>208</v>
      </c>
      <c r="D230" s="142" t="s">
        <v>208</v>
      </c>
      <c r="E230" s="142" t="s">
        <v>208</v>
      </c>
      <c r="F230" s="142" t="s">
        <v>208</v>
      </c>
      <c r="G230" s="142" t="s">
        <v>208</v>
      </c>
      <c r="H230" s="143" t="s">
        <v>208</v>
      </c>
    </row>
    <row r="231" spans="2:8" x14ac:dyDescent="0.2">
      <c r="B231" s="144" t="s">
        <v>259</v>
      </c>
      <c r="C231" s="142" t="s">
        <v>208</v>
      </c>
      <c r="D231" s="142" t="s">
        <v>208</v>
      </c>
      <c r="E231" s="142" t="s">
        <v>208</v>
      </c>
      <c r="F231" s="142" t="s">
        <v>208</v>
      </c>
      <c r="G231" s="142" t="s">
        <v>208</v>
      </c>
      <c r="H231" s="143" t="s">
        <v>208</v>
      </c>
    </row>
    <row r="232" spans="2:8" x14ac:dyDescent="0.2">
      <c r="B232" s="144" t="s">
        <v>258</v>
      </c>
      <c r="C232" s="142" t="s">
        <v>208</v>
      </c>
      <c r="D232" s="142" t="s">
        <v>208</v>
      </c>
      <c r="E232" s="142" t="s">
        <v>208</v>
      </c>
      <c r="F232" s="142" t="s">
        <v>208</v>
      </c>
      <c r="G232" s="142" t="s">
        <v>208</v>
      </c>
      <c r="H232" s="143" t="s">
        <v>208</v>
      </c>
    </row>
    <row r="233" spans="2:8" x14ac:dyDescent="0.2">
      <c r="B233" s="144"/>
      <c r="C233" s="142"/>
      <c r="D233" s="142"/>
      <c r="E233" s="142"/>
      <c r="F233" s="142"/>
      <c r="G233" s="142"/>
      <c r="H233" s="143"/>
    </row>
    <row r="234" spans="2:8" ht="15.75" x14ac:dyDescent="0.2">
      <c r="B234" s="147" t="s">
        <v>171</v>
      </c>
      <c r="C234" s="104"/>
      <c r="D234" s="104"/>
      <c r="E234" s="104"/>
      <c r="F234" s="104"/>
      <c r="G234" s="104"/>
      <c r="H234" s="105"/>
    </row>
    <row r="235" spans="2:8" x14ac:dyDescent="0.2">
      <c r="B235" s="141" t="s">
        <v>172</v>
      </c>
      <c r="C235" s="148">
        <v>-25.4</v>
      </c>
      <c r="D235" s="148">
        <v>-25.4</v>
      </c>
      <c r="E235" s="148">
        <v>-25.4</v>
      </c>
      <c r="F235" s="148">
        <v>-25.4</v>
      </c>
      <c r="G235" s="148">
        <v>-30.2</v>
      </c>
      <c r="H235" s="149">
        <v>-30.2</v>
      </c>
    </row>
    <row r="236" spans="2:8" x14ac:dyDescent="0.2">
      <c r="B236" s="141" t="s">
        <v>173</v>
      </c>
      <c r="C236" s="148">
        <v>-3.8</v>
      </c>
      <c r="D236" s="148">
        <v>-3.9</v>
      </c>
      <c r="E236" s="148">
        <v>-3.9</v>
      </c>
      <c r="F236" s="148">
        <v>-4.0999999999999996</v>
      </c>
      <c r="G236" s="148">
        <v>-4.8</v>
      </c>
      <c r="H236" s="149">
        <v>-4.7</v>
      </c>
    </row>
    <row r="237" spans="2:8" ht="15.75" thickBot="1" x14ac:dyDescent="0.25">
      <c r="B237" s="257"/>
      <c r="C237" s="142"/>
      <c r="D237" s="142"/>
      <c r="E237" s="142"/>
      <c r="F237" s="142"/>
      <c r="G237" s="142"/>
      <c r="H237" s="143"/>
    </row>
    <row r="238" spans="2:8" ht="17.25" thickTop="1" thickBot="1" x14ac:dyDescent="0.25">
      <c r="B238" s="231" t="s">
        <v>260</v>
      </c>
      <c r="C238" s="258"/>
      <c r="D238" s="258"/>
      <c r="E238" s="258"/>
      <c r="F238" s="258"/>
      <c r="G238" s="258"/>
      <c r="H238" s="259"/>
    </row>
    <row r="239" spans="2:8" ht="15.75" thickTop="1" x14ac:dyDescent="0.2">
      <c r="B239" s="260"/>
      <c r="C239" s="261"/>
      <c r="D239" s="261"/>
      <c r="E239" s="261"/>
      <c r="F239" s="261"/>
      <c r="G239" s="261"/>
      <c r="H239" s="262"/>
    </row>
    <row r="240" spans="2:8" ht="15.75" x14ac:dyDescent="0.2">
      <c r="B240" s="263" t="s">
        <v>261</v>
      </c>
      <c r="C240" s="158">
        <v>26.4</v>
      </c>
      <c r="D240" s="158">
        <v>26.4</v>
      </c>
      <c r="E240" s="158">
        <v>26.4</v>
      </c>
      <c r="F240" s="158">
        <v>26.4</v>
      </c>
      <c r="G240" s="158">
        <v>26.4</v>
      </c>
      <c r="H240" s="159">
        <v>26.4</v>
      </c>
    </row>
    <row r="241" spans="2:8" ht="15.75" x14ac:dyDescent="0.2">
      <c r="B241" s="263" t="s">
        <v>178</v>
      </c>
      <c r="C241" s="160">
        <v>6.6</v>
      </c>
      <c r="D241" s="160">
        <v>6.7</v>
      </c>
      <c r="E241" s="160">
        <v>6.7</v>
      </c>
      <c r="F241" s="160">
        <v>6.7</v>
      </c>
      <c r="G241" s="160">
        <v>6.8</v>
      </c>
      <c r="H241" s="161">
        <v>6.8</v>
      </c>
    </row>
    <row r="242" spans="2:8" x14ac:dyDescent="0.2">
      <c r="B242" s="263" t="s">
        <v>179</v>
      </c>
      <c r="C242" s="158">
        <v>16.100000000000001</v>
      </c>
      <c r="D242" s="158">
        <v>16.100000000000001</v>
      </c>
      <c r="E242" s="158">
        <v>16.100000000000001</v>
      </c>
      <c r="F242" s="158">
        <v>16.100000000000001</v>
      </c>
      <c r="G242" s="158">
        <v>16.100000000000001</v>
      </c>
      <c r="H242" s="159">
        <v>16.100000000000001</v>
      </c>
    </row>
    <row r="243" spans="2:8" ht="15.75" x14ac:dyDescent="0.2">
      <c r="B243" s="263" t="s">
        <v>180</v>
      </c>
      <c r="C243" s="158">
        <v>393600</v>
      </c>
      <c r="D243" s="158">
        <v>403200</v>
      </c>
      <c r="E243" s="158">
        <v>404400</v>
      </c>
      <c r="F243" s="158">
        <v>404400</v>
      </c>
      <c r="G243" s="158">
        <v>406800</v>
      </c>
      <c r="H243" s="159">
        <v>406800</v>
      </c>
    </row>
    <row r="244" spans="2:8" s="61" customFormat="1" ht="15.75" thickBot="1" x14ac:dyDescent="0.25">
      <c r="B244" s="157"/>
      <c r="C244" s="158"/>
      <c r="D244" s="158"/>
      <c r="E244" s="158"/>
      <c r="F244" s="158"/>
      <c r="G244" s="158"/>
      <c r="H244" s="159"/>
    </row>
    <row r="245" spans="2:8" s="61" customFormat="1" ht="17.25" thickTop="1" thickBot="1" x14ac:dyDescent="0.25">
      <c r="B245" s="95" t="s">
        <v>182</v>
      </c>
      <c r="C245" s="166"/>
      <c r="D245" s="166"/>
      <c r="E245" s="166"/>
      <c r="F245" s="166"/>
      <c r="G245" s="166"/>
      <c r="H245" s="167"/>
    </row>
    <row r="246" spans="2:8" s="61" customFormat="1" ht="15.75" thickTop="1" x14ac:dyDescent="0.2">
      <c r="B246" s="141"/>
      <c r="C246" s="162"/>
      <c r="D246" s="162"/>
      <c r="E246" s="162"/>
      <c r="F246" s="162"/>
      <c r="G246" s="162"/>
      <c r="H246" s="163"/>
    </row>
    <row r="247" spans="2:8" s="61" customFormat="1" ht="15.75" x14ac:dyDescent="0.2">
      <c r="B247" s="157" t="s">
        <v>177</v>
      </c>
      <c r="C247" s="158">
        <v>96</v>
      </c>
      <c r="D247" s="158">
        <v>96</v>
      </c>
      <c r="E247" s="158">
        <v>96</v>
      </c>
      <c r="F247" s="158">
        <v>96</v>
      </c>
      <c r="G247" s="158">
        <v>96</v>
      </c>
      <c r="H247" s="159">
        <v>96</v>
      </c>
    </row>
    <row r="248" spans="2:8" s="61" customFormat="1" ht="15.75" x14ac:dyDescent="0.2">
      <c r="B248" s="157" t="s">
        <v>178</v>
      </c>
      <c r="C248" s="160">
        <v>5.2</v>
      </c>
      <c r="D248" s="160">
        <v>5.0999999999999996</v>
      </c>
      <c r="E248" s="160">
        <v>5.2</v>
      </c>
      <c r="F248" s="160">
        <v>5.2</v>
      </c>
      <c r="G248" s="160">
        <v>5.2</v>
      </c>
      <c r="H248" s="161">
        <v>5.2</v>
      </c>
    </row>
    <row r="249" spans="2:8" s="61" customFormat="1" x14ac:dyDescent="0.2">
      <c r="B249" s="157" t="s">
        <v>179</v>
      </c>
      <c r="C249" s="158">
        <v>18.600000000000001</v>
      </c>
      <c r="D249" s="158">
        <v>18.600000000000001</v>
      </c>
      <c r="E249" s="158">
        <v>18.600000000000001</v>
      </c>
      <c r="F249" s="158">
        <v>18.600000000000001</v>
      </c>
      <c r="G249" s="158">
        <v>18.600000000000001</v>
      </c>
      <c r="H249" s="159">
        <v>18.600000000000001</v>
      </c>
    </row>
    <row r="250" spans="2:8" s="61" customFormat="1" ht="15.75" x14ac:dyDescent="0.2">
      <c r="B250" s="157" t="s">
        <v>180</v>
      </c>
      <c r="C250" s="158">
        <v>544000</v>
      </c>
      <c r="D250" s="158">
        <v>540800</v>
      </c>
      <c r="E250" s="158">
        <v>542400</v>
      </c>
      <c r="F250" s="158">
        <v>542400</v>
      </c>
      <c r="G250" s="158">
        <v>545600</v>
      </c>
      <c r="H250" s="159">
        <v>545600</v>
      </c>
    </row>
    <row r="251" spans="2:8" ht="15.75" thickBot="1" x14ac:dyDescent="0.25">
      <c r="B251" s="264"/>
      <c r="C251" s="265"/>
      <c r="D251" s="265"/>
      <c r="E251" s="265"/>
      <c r="F251" s="265"/>
      <c r="G251" s="265"/>
      <c r="H251" s="266"/>
    </row>
    <row r="252" spans="2:8" ht="16.5" thickTop="1" x14ac:dyDescent="0.2">
      <c r="B252" s="267" t="s">
        <v>183</v>
      </c>
      <c r="C252" s="180"/>
      <c r="D252" s="180"/>
      <c r="E252" s="180"/>
      <c r="F252" s="180"/>
      <c r="G252" s="180"/>
      <c r="H252" s="181"/>
    </row>
    <row r="253" spans="2:8" x14ac:dyDescent="0.2">
      <c r="B253" s="78" t="s">
        <v>262</v>
      </c>
      <c r="C253" s="180"/>
      <c r="D253" s="180"/>
      <c r="E253" s="180"/>
      <c r="F253" s="180"/>
      <c r="G253" s="180"/>
      <c r="H253" s="181"/>
    </row>
    <row r="254" spans="2:8" x14ac:dyDescent="0.2">
      <c r="B254" s="257" t="s">
        <v>263</v>
      </c>
      <c r="C254" s="180"/>
      <c r="D254" s="180"/>
      <c r="E254" s="180"/>
      <c r="F254" s="180"/>
      <c r="G254" s="180"/>
      <c r="H254" s="181"/>
    </row>
    <row r="255" spans="2:8" x14ac:dyDescent="0.2">
      <c r="B255" s="78" t="s">
        <v>264</v>
      </c>
      <c r="C255" s="180"/>
      <c r="D255" s="180"/>
      <c r="E255" s="180"/>
      <c r="F255" s="180"/>
      <c r="G255" s="180"/>
      <c r="H255" s="181"/>
    </row>
    <row r="256" spans="2:8" x14ac:dyDescent="0.2">
      <c r="B256" s="78" t="s">
        <v>265</v>
      </c>
      <c r="C256" s="180"/>
      <c r="D256" s="180"/>
      <c r="E256" s="180"/>
      <c r="F256" s="180"/>
      <c r="G256" s="180"/>
      <c r="H256" s="181"/>
    </row>
    <row r="257" spans="2:8" x14ac:dyDescent="0.2">
      <c r="B257" s="78" t="s">
        <v>266</v>
      </c>
      <c r="C257" s="180"/>
      <c r="D257" s="180"/>
      <c r="E257" s="180"/>
      <c r="F257" s="180"/>
      <c r="G257" s="180"/>
      <c r="H257" s="181"/>
    </row>
    <row r="258" spans="2:8" x14ac:dyDescent="0.2">
      <c r="B258" s="78" t="s">
        <v>267</v>
      </c>
      <c r="C258" s="180"/>
      <c r="D258" s="180"/>
      <c r="E258" s="180"/>
      <c r="F258" s="180"/>
      <c r="G258" s="180"/>
      <c r="H258" s="181"/>
    </row>
    <row r="259" spans="2:8" x14ac:dyDescent="0.2">
      <c r="B259" s="78" t="s">
        <v>268</v>
      </c>
      <c r="C259" s="180"/>
      <c r="D259" s="180"/>
      <c r="E259" s="180"/>
      <c r="F259" s="180"/>
      <c r="G259" s="180"/>
      <c r="H259" s="181"/>
    </row>
    <row r="260" spans="2:8" x14ac:dyDescent="0.2">
      <c r="B260" s="78" t="s">
        <v>269</v>
      </c>
      <c r="C260" s="180"/>
      <c r="D260" s="180"/>
      <c r="E260" s="180"/>
      <c r="F260" s="180"/>
      <c r="G260" s="180"/>
      <c r="H260" s="181"/>
    </row>
    <row r="261" spans="2:8" x14ac:dyDescent="0.2">
      <c r="B261" s="78" t="s">
        <v>270</v>
      </c>
      <c r="C261" s="180"/>
      <c r="D261" s="180"/>
      <c r="E261" s="180"/>
      <c r="F261" s="180"/>
      <c r="G261" s="180"/>
      <c r="H261" s="181"/>
    </row>
    <row r="262" spans="2:8" x14ac:dyDescent="0.2">
      <c r="B262" s="78" t="s">
        <v>271</v>
      </c>
      <c r="C262" s="180"/>
      <c r="D262" s="180"/>
      <c r="E262" s="180"/>
      <c r="F262" s="180"/>
      <c r="G262" s="180"/>
      <c r="H262" s="181"/>
    </row>
    <row r="263" spans="2:8" x14ac:dyDescent="0.2">
      <c r="B263" s="78" t="s">
        <v>272</v>
      </c>
      <c r="C263" s="180"/>
      <c r="D263" s="180"/>
      <c r="E263" s="180"/>
      <c r="F263" s="180"/>
      <c r="G263" s="180"/>
      <c r="H263" s="181"/>
    </row>
    <row r="264" spans="2:8" x14ac:dyDescent="0.2">
      <c r="B264" s="78" t="s">
        <v>273</v>
      </c>
      <c r="C264" s="180"/>
      <c r="D264" s="180"/>
      <c r="E264" s="180"/>
      <c r="F264" s="180"/>
      <c r="G264" s="180"/>
      <c r="H264" s="181"/>
    </row>
    <row r="265" spans="2:8" x14ac:dyDescent="0.2">
      <c r="B265" s="78" t="s">
        <v>274</v>
      </c>
      <c r="C265" s="180"/>
      <c r="D265" s="180"/>
      <c r="E265" s="180"/>
      <c r="F265" s="180"/>
      <c r="G265" s="180"/>
      <c r="H265" s="181"/>
    </row>
    <row r="266" spans="2:8" x14ac:dyDescent="0.2">
      <c r="B266" s="78" t="s">
        <v>275</v>
      </c>
      <c r="C266" s="180"/>
      <c r="D266" s="180"/>
      <c r="E266" s="180"/>
      <c r="F266" s="180"/>
      <c r="G266" s="180"/>
      <c r="H266" s="181"/>
    </row>
    <row r="267" spans="2:8" ht="15.75" thickBot="1" x14ac:dyDescent="0.25">
      <c r="B267" s="268"/>
      <c r="C267" s="244"/>
      <c r="D267" s="244"/>
      <c r="E267" s="244"/>
      <c r="F267" s="244"/>
      <c r="G267" s="244"/>
      <c r="H267" s="245"/>
    </row>
    <row r="268" spans="2:8" ht="15.75" thickTop="1" x14ac:dyDescent="0.2">
      <c r="B268" s="269"/>
    </row>
    <row r="269" spans="2:8" x14ac:dyDescent="0.2">
      <c r="B269" s="270"/>
    </row>
  </sheetData>
  <mergeCells count="4">
    <mergeCell ref="B3:H3"/>
    <mergeCell ref="B4:H4"/>
    <mergeCell ref="B5:H5"/>
    <mergeCell ref="B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heetViews>
  <sheetFormatPr defaultRowHeight="12.75" x14ac:dyDescent="0.2"/>
  <cols>
    <col min="1" max="1" width="16.33203125" bestFit="1" customWidth="1"/>
    <col min="2" max="3" width="15" bestFit="1" customWidth="1"/>
    <col min="4" max="4" width="13" bestFit="1" customWidth="1"/>
    <col min="5" max="5" width="15" bestFit="1" customWidth="1"/>
  </cols>
  <sheetData>
    <row r="1" spans="1:5" x14ac:dyDescent="0.2">
      <c r="A1" t="s">
        <v>324</v>
      </c>
      <c r="B1" t="s">
        <v>346</v>
      </c>
      <c r="C1" s="281" t="s">
        <v>349</v>
      </c>
      <c r="D1" t="s">
        <v>59</v>
      </c>
      <c r="E1" t="s">
        <v>399</v>
      </c>
    </row>
    <row r="2" spans="1:5" x14ac:dyDescent="0.2">
      <c r="A2">
        <v>3066</v>
      </c>
      <c r="B2">
        <v>3066</v>
      </c>
      <c r="C2">
        <v>3066</v>
      </c>
      <c r="D2">
        <v>3066</v>
      </c>
      <c r="E2">
        <v>8760</v>
      </c>
    </row>
  </sheetData>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58"/>
  <sheetViews>
    <sheetView workbookViewId="0"/>
  </sheetViews>
  <sheetFormatPr defaultColWidth="10.33203125" defaultRowHeight="12.75" x14ac:dyDescent="0.2"/>
  <cols>
    <col min="1" max="1" width="2.83203125" style="281" customWidth="1"/>
    <col min="2" max="2" width="31" style="281" customWidth="1"/>
    <col min="3" max="13" width="12.5" style="282" customWidth="1"/>
    <col min="14" max="14" width="12.5" style="281" customWidth="1"/>
    <col min="15" max="22" width="11.1640625" style="281" customWidth="1"/>
    <col min="23" max="16384" width="10.33203125" style="281"/>
  </cols>
  <sheetData>
    <row r="1" spans="2:23" ht="4.5" customHeight="1" x14ac:dyDescent="0.2"/>
    <row r="2" spans="2:23" x14ac:dyDescent="0.2">
      <c r="B2" s="283" t="s">
        <v>373</v>
      </c>
      <c r="M2" s="281"/>
      <c r="W2" s="282"/>
    </row>
    <row r="3" spans="2:23" x14ac:dyDescent="0.2">
      <c r="B3" s="334" t="s">
        <v>374</v>
      </c>
      <c r="C3" s="335" t="s">
        <v>375</v>
      </c>
      <c r="D3" s="336"/>
      <c r="E3" s="336"/>
      <c r="F3" s="336"/>
      <c r="G3" s="336"/>
      <c r="H3" s="336"/>
      <c r="I3" s="336"/>
      <c r="J3" s="336"/>
      <c r="K3" s="336"/>
      <c r="L3" s="337"/>
      <c r="M3" s="281"/>
    </row>
    <row r="4" spans="2:23" x14ac:dyDescent="0.2">
      <c r="B4" s="334"/>
      <c r="C4" s="334" t="s">
        <v>34</v>
      </c>
      <c r="D4" s="334"/>
      <c r="E4" s="335" t="s">
        <v>376</v>
      </c>
      <c r="F4" s="336"/>
      <c r="G4" s="336"/>
      <c r="H4" s="337"/>
      <c r="I4" s="335" t="s">
        <v>32</v>
      </c>
      <c r="J4" s="337"/>
      <c r="K4" s="335" t="s">
        <v>31</v>
      </c>
      <c r="L4" s="337"/>
      <c r="M4" s="281"/>
    </row>
    <row r="5" spans="2:23" x14ac:dyDescent="0.2">
      <c r="B5" s="334"/>
      <c r="C5" s="334" t="s">
        <v>377</v>
      </c>
      <c r="D5" s="334"/>
      <c r="E5" s="335" t="s">
        <v>377</v>
      </c>
      <c r="F5" s="337"/>
      <c r="G5" s="335" t="s">
        <v>378</v>
      </c>
      <c r="H5" s="337"/>
      <c r="I5" s="335" t="s">
        <v>378</v>
      </c>
      <c r="J5" s="337"/>
      <c r="K5" s="335" t="s">
        <v>378</v>
      </c>
      <c r="L5" s="337"/>
      <c r="M5" s="281"/>
    </row>
    <row r="6" spans="2:23" ht="38.25" x14ac:dyDescent="0.2">
      <c r="B6" s="334"/>
      <c r="C6" s="284" t="s">
        <v>379</v>
      </c>
      <c r="D6" s="284" t="s">
        <v>380</v>
      </c>
      <c r="E6" s="284" t="s">
        <v>379</v>
      </c>
      <c r="F6" s="284" t="s">
        <v>380</v>
      </c>
      <c r="G6" s="284" t="s">
        <v>379</v>
      </c>
      <c r="H6" s="284" t="s">
        <v>380</v>
      </c>
      <c r="I6" s="284" t="s">
        <v>379</v>
      </c>
      <c r="J6" s="284" t="s">
        <v>380</v>
      </c>
      <c r="K6" s="284" t="s">
        <v>379</v>
      </c>
      <c r="L6" s="284" t="s">
        <v>380</v>
      </c>
      <c r="M6" s="281"/>
    </row>
    <row r="7" spans="2:23" x14ac:dyDescent="0.2">
      <c r="B7" s="285" t="s">
        <v>381</v>
      </c>
      <c r="C7" s="286" t="s">
        <v>26</v>
      </c>
      <c r="D7" s="286" t="s">
        <v>26</v>
      </c>
      <c r="E7" s="287" t="s">
        <v>26</v>
      </c>
      <c r="F7" s="287" t="s">
        <v>26</v>
      </c>
      <c r="G7" s="287" t="s">
        <v>26</v>
      </c>
      <c r="H7" s="287" t="s">
        <v>26</v>
      </c>
      <c r="I7" s="287" t="s">
        <v>26</v>
      </c>
      <c r="J7" s="287" t="s">
        <v>26</v>
      </c>
      <c r="K7" s="287" t="s">
        <v>26</v>
      </c>
      <c r="L7" s="287" t="s">
        <v>26</v>
      </c>
      <c r="M7" s="281"/>
    </row>
    <row r="8" spans="2:23" x14ac:dyDescent="0.2">
      <c r="B8" s="285" t="s">
        <v>201</v>
      </c>
      <c r="C8" s="286" t="s">
        <v>26</v>
      </c>
      <c r="D8" s="286" t="s">
        <v>382</v>
      </c>
      <c r="E8" s="287" t="s">
        <v>26</v>
      </c>
      <c r="F8" s="287" t="s">
        <v>382</v>
      </c>
      <c r="G8" s="287" t="s">
        <v>26</v>
      </c>
      <c r="H8" s="287" t="s">
        <v>382</v>
      </c>
      <c r="I8" s="287" t="s">
        <v>26</v>
      </c>
      <c r="J8" s="287" t="s">
        <v>382</v>
      </c>
      <c r="K8" s="287" t="s">
        <v>26</v>
      </c>
      <c r="L8" s="287" t="s">
        <v>382</v>
      </c>
      <c r="M8" s="281"/>
    </row>
    <row r="9" spans="2:23" x14ac:dyDescent="0.2">
      <c r="B9" s="285" t="s">
        <v>383</v>
      </c>
      <c r="C9" s="286" t="s">
        <v>26</v>
      </c>
      <c r="D9" s="286" t="s">
        <v>382</v>
      </c>
      <c r="E9" s="287" t="s">
        <v>26</v>
      </c>
      <c r="F9" s="287" t="s">
        <v>382</v>
      </c>
      <c r="G9" s="287" t="s">
        <v>26</v>
      </c>
      <c r="H9" s="287" t="s">
        <v>382</v>
      </c>
      <c r="I9" s="287" t="s">
        <v>26</v>
      </c>
      <c r="J9" s="287" t="s">
        <v>382</v>
      </c>
      <c r="K9" s="287" t="s">
        <v>26</v>
      </c>
      <c r="L9" s="287" t="s">
        <v>382</v>
      </c>
      <c r="M9" s="281"/>
    </row>
    <row r="10" spans="2:23" x14ac:dyDescent="0.2">
      <c r="B10" s="285" t="s">
        <v>384</v>
      </c>
      <c r="C10" s="286" t="s">
        <v>26</v>
      </c>
      <c r="D10" s="286" t="s">
        <v>382</v>
      </c>
      <c r="E10" s="287" t="s">
        <v>26</v>
      </c>
      <c r="F10" s="287" t="s">
        <v>382</v>
      </c>
      <c r="G10" s="287" t="s">
        <v>26</v>
      </c>
      <c r="H10" s="287" t="s">
        <v>382</v>
      </c>
      <c r="I10" s="287" t="s">
        <v>26</v>
      </c>
      <c r="J10" s="287" t="s">
        <v>382</v>
      </c>
      <c r="K10" s="287" t="s">
        <v>26</v>
      </c>
      <c r="L10" s="287" t="s">
        <v>382</v>
      </c>
      <c r="M10" s="281"/>
    </row>
    <row r="11" spans="2:23" x14ac:dyDescent="0.2">
      <c r="B11" s="285" t="s">
        <v>385</v>
      </c>
      <c r="C11" s="286" t="s">
        <v>26</v>
      </c>
      <c r="D11" s="286" t="s">
        <v>26</v>
      </c>
      <c r="E11" s="287" t="s">
        <v>26</v>
      </c>
      <c r="F11" s="287" t="s">
        <v>26</v>
      </c>
      <c r="G11" s="287" t="s">
        <v>26</v>
      </c>
      <c r="H11" s="287" t="s">
        <v>26</v>
      </c>
      <c r="I11" s="287" t="s">
        <v>26</v>
      </c>
      <c r="J11" s="287" t="s">
        <v>26</v>
      </c>
      <c r="K11" s="287" t="s">
        <v>26</v>
      </c>
      <c r="L11" s="287" t="s">
        <v>26</v>
      </c>
      <c r="M11" s="281"/>
    </row>
    <row r="12" spans="2:23" ht="25.5" customHeight="1" x14ac:dyDescent="0.2">
      <c r="B12" s="342" t="s">
        <v>386</v>
      </c>
      <c r="C12" s="342"/>
      <c r="D12" s="342"/>
      <c r="E12" s="342"/>
      <c r="F12" s="342"/>
      <c r="G12" s="342"/>
      <c r="H12" s="342"/>
      <c r="I12" s="342"/>
      <c r="J12" s="342"/>
      <c r="K12" s="342"/>
      <c r="L12" s="342"/>
      <c r="M12" s="281"/>
      <c r="W12" s="282"/>
    </row>
    <row r="13" spans="2:23" x14ac:dyDescent="0.2">
      <c r="B13" s="341"/>
      <c r="C13" s="341"/>
      <c r="D13" s="341"/>
      <c r="E13" s="341"/>
      <c r="F13" s="341"/>
      <c r="G13" s="341"/>
      <c r="H13" s="341"/>
      <c r="I13" s="341"/>
      <c r="J13" s="341"/>
      <c r="K13" s="341"/>
      <c r="L13" s="341"/>
      <c r="M13" s="281"/>
      <c r="W13" s="282"/>
    </row>
    <row r="14" spans="2:23" x14ac:dyDescent="0.2">
      <c r="B14" s="288" t="s">
        <v>387</v>
      </c>
      <c r="C14" s="281"/>
      <c r="D14" s="281"/>
      <c r="E14" s="281"/>
      <c r="F14" s="281"/>
      <c r="G14" s="281"/>
      <c r="H14" s="281"/>
      <c r="I14" s="281"/>
      <c r="J14" s="281"/>
      <c r="K14" s="281"/>
      <c r="L14" s="281"/>
      <c r="M14" s="281"/>
      <c r="W14" s="282"/>
    </row>
    <row r="15" spans="2:23" x14ac:dyDescent="0.2">
      <c r="B15" s="289" t="s">
        <v>388</v>
      </c>
      <c r="C15" s="281"/>
      <c r="D15" s="281"/>
      <c r="E15" s="281"/>
      <c r="F15" s="281"/>
      <c r="G15" s="281"/>
      <c r="H15" s="281"/>
      <c r="I15" s="281"/>
      <c r="J15" s="281"/>
      <c r="K15" s="281"/>
      <c r="L15" s="281"/>
      <c r="M15" s="281"/>
    </row>
    <row r="16" spans="2:23" x14ac:dyDescent="0.2">
      <c r="C16" s="281"/>
      <c r="D16" s="281"/>
      <c r="E16" s="281"/>
      <c r="F16" s="281"/>
      <c r="G16" s="281"/>
      <c r="H16" s="281"/>
      <c r="I16" s="281"/>
      <c r="J16" s="281"/>
      <c r="K16" s="281"/>
      <c r="L16" s="281"/>
      <c r="M16" s="281"/>
    </row>
    <row r="17" spans="2:34" x14ac:dyDescent="0.2">
      <c r="C17" s="281"/>
      <c r="D17" s="281"/>
      <c r="E17" s="281"/>
      <c r="F17" s="281"/>
      <c r="G17" s="281"/>
      <c r="H17" s="281"/>
      <c r="I17" s="281"/>
      <c r="J17" s="281"/>
      <c r="K17" s="281"/>
      <c r="L17" s="281"/>
      <c r="M17" s="281"/>
    </row>
    <row r="18" spans="2:34" x14ac:dyDescent="0.2">
      <c r="B18" s="283" t="s">
        <v>389</v>
      </c>
      <c r="M18" s="281"/>
    </row>
    <row r="19" spans="2:34" x14ac:dyDescent="0.2">
      <c r="B19" s="334" t="s">
        <v>374</v>
      </c>
      <c r="C19" s="335" t="s">
        <v>375</v>
      </c>
      <c r="D19" s="337"/>
      <c r="E19" s="281"/>
      <c r="F19" s="281"/>
      <c r="G19" s="281"/>
      <c r="H19" s="281"/>
      <c r="I19" s="281"/>
      <c r="J19" s="281"/>
      <c r="K19" s="281"/>
      <c r="L19" s="281"/>
      <c r="M19" s="281"/>
    </row>
    <row r="20" spans="2:34" x14ac:dyDescent="0.2">
      <c r="B20" s="334"/>
      <c r="C20" s="335" t="s">
        <v>33</v>
      </c>
      <c r="D20" s="337"/>
      <c r="E20" s="281"/>
      <c r="F20" s="281"/>
      <c r="G20" s="281"/>
      <c r="H20" s="281"/>
      <c r="I20" s="281"/>
      <c r="J20" s="281"/>
      <c r="K20" s="281"/>
      <c r="L20" s="281"/>
      <c r="M20" s="281"/>
    </row>
    <row r="21" spans="2:34" x14ac:dyDescent="0.2">
      <c r="B21" s="334"/>
      <c r="C21" s="335" t="s">
        <v>377</v>
      </c>
      <c r="D21" s="337"/>
      <c r="E21" s="281"/>
      <c r="F21" s="281"/>
      <c r="G21" s="281"/>
      <c r="H21" s="281"/>
      <c r="I21" s="281"/>
      <c r="J21" s="281"/>
      <c r="K21" s="281"/>
      <c r="L21" s="281"/>
      <c r="M21" s="281"/>
    </row>
    <row r="22" spans="2:34" ht="38.25" x14ac:dyDescent="0.2">
      <c r="B22" s="334"/>
      <c r="C22" s="284" t="s">
        <v>379</v>
      </c>
      <c r="D22" s="284" t="s">
        <v>380</v>
      </c>
      <c r="E22" s="281"/>
      <c r="F22" s="281"/>
      <c r="G22" s="281"/>
      <c r="H22" s="281"/>
      <c r="I22" s="281"/>
      <c r="J22" s="281"/>
      <c r="K22" s="281"/>
      <c r="L22" s="281"/>
      <c r="M22" s="281"/>
    </row>
    <row r="23" spans="2:34" x14ac:dyDescent="0.2">
      <c r="B23" s="285" t="s">
        <v>381</v>
      </c>
      <c r="C23" s="286" t="s">
        <v>26</v>
      </c>
      <c r="D23" s="286" t="s">
        <v>26</v>
      </c>
      <c r="E23" s="281"/>
      <c r="F23" s="281"/>
      <c r="G23" s="281"/>
      <c r="H23" s="281"/>
      <c r="I23" s="281"/>
      <c r="J23" s="281"/>
      <c r="K23" s="281"/>
      <c r="L23" s="281"/>
      <c r="M23" s="281"/>
    </row>
    <row r="24" spans="2:34" x14ac:dyDescent="0.2">
      <c r="B24" s="285" t="s">
        <v>201</v>
      </c>
      <c r="C24" s="286" t="s">
        <v>26</v>
      </c>
      <c r="D24" s="286" t="s">
        <v>382</v>
      </c>
      <c r="E24" s="281"/>
      <c r="F24" s="281"/>
      <c r="G24" s="281"/>
      <c r="H24" s="281"/>
      <c r="I24" s="281"/>
      <c r="J24" s="281"/>
      <c r="K24" s="281"/>
      <c r="L24" s="281"/>
      <c r="M24" s="281"/>
      <c r="AH24" s="289"/>
    </row>
    <row r="25" spans="2:34" x14ac:dyDescent="0.2">
      <c r="B25" s="285" t="s">
        <v>383</v>
      </c>
      <c r="C25" s="286" t="s">
        <v>26</v>
      </c>
      <c r="D25" s="286" t="s">
        <v>382</v>
      </c>
      <c r="E25" s="281"/>
      <c r="F25" s="281"/>
      <c r="G25" s="281"/>
      <c r="H25" s="281"/>
      <c r="I25" s="281"/>
      <c r="J25" s="281"/>
      <c r="K25" s="281"/>
      <c r="L25" s="281"/>
      <c r="M25" s="281"/>
    </row>
    <row r="26" spans="2:34" x14ac:dyDescent="0.2">
      <c r="B26" s="285" t="s">
        <v>384</v>
      </c>
      <c r="C26" s="286" t="s">
        <v>26</v>
      </c>
      <c r="D26" s="286" t="s">
        <v>382</v>
      </c>
      <c r="E26" s="281"/>
      <c r="F26" s="281"/>
      <c r="G26" s="281"/>
      <c r="H26" s="281"/>
      <c r="I26" s="281"/>
      <c r="J26" s="281"/>
      <c r="K26" s="281"/>
      <c r="L26" s="281"/>
      <c r="M26" s="281"/>
    </row>
    <row r="27" spans="2:34" x14ac:dyDescent="0.2">
      <c r="B27" s="285" t="s">
        <v>385</v>
      </c>
      <c r="C27" s="286" t="s">
        <v>26</v>
      </c>
      <c r="D27" s="286" t="s">
        <v>26</v>
      </c>
      <c r="E27" s="281"/>
      <c r="F27" s="281"/>
      <c r="G27" s="281"/>
      <c r="H27" s="281"/>
      <c r="I27" s="281"/>
      <c r="J27" s="281"/>
      <c r="K27" s="281"/>
      <c r="L27" s="281"/>
      <c r="M27" s="281"/>
    </row>
    <row r="28" spans="2:34" ht="27" customHeight="1" x14ac:dyDescent="0.2">
      <c r="B28" s="341" t="s">
        <v>390</v>
      </c>
      <c r="C28" s="341"/>
      <c r="D28" s="341"/>
      <c r="E28" s="341"/>
      <c r="F28" s="341"/>
      <c r="G28" s="341"/>
      <c r="H28" s="341"/>
      <c r="I28" s="341"/>
      <c r="J28" s="341"/>
      <c r="K28" s="341"/>
      <c r="M28" s="281"/>
    </row>
    <row r="29" spans="2:34" x14ac:dyDescent="0.2">
      <c r="B29" s="288" t="s">
        <v>391</v>
      </c>
      <c r="C29" s="281"/>
      <c r="D29" s="281"/>
      <c r="E29" s="281"/>
      <c r="F29" s="281"/>
      <c r="G29" s="281"/>
      <c r="H29" s="281"/>
      <c r="I29" s="281"/>
      <c r="J29" s="281"/>
      <c r="K29" s="281"/>
      <c r="L29" s="281"/>
      <c r="M29" s="281"/>
      <c r="W29" s="282"/>
    </row>
    <row r="30" spans="2:34" x14ac:dyDescent="0.2">
      <c r="B30" s="289" t="s">
        <v>388</v>
      </c>
      <c r="C30" s="281"/>
      <c r="D30" s="281"/>
      <c r="E30" s="281"/>
      <c r="F30" s="281"/>
      <c r="G30" s="281"/>
      <c r="H30" s="281"/>
      <c r="I30" s="281"/>
      <c r="J30" s="281"/>
      <c r="K30" s="281"/>
      <c r="L30" s="281"/>
      <c r="M30" s="281"/>
      <c r="W30" s="282"/>
    </row>
    <row r="31" spans="2:34" x14ac:dyDescent="0.2">
      <c r="B31" s="288"/>
      <c r="C31" s="281"/>
      <c r="D31" s="281"/>
      <c r="E31" s="281"/>
      <c r="F31" s="281"/>
      <c r="G31" s="281"/>
      <c r="H31" s="281"/>
      <c r="I31" s="281"/>
      <c r="J31" s="281"/>
      <c r="K31" s="281"/>
      <c r="L31" s="281"/>
      <c r="M31" s="281"/>
      <c r="W31" s="282"/>
    </row>
    <row r="32" spans="2:34" x14ac:dyDescent="0.2">
      <c r="B32" s="290"/>
      <c r="C32" s="290"/>
      <c r="D32" s="290"/>
      <c r="E32" s="290"/>
      <c r="F32" s="290"/>
      <c r="G32" s="290"/>
      <c r="H32" s="290"/>
      <c r="I32" s="290"/>
      <c r="J32" s="290"/>
      <c r="K32" s="290"/>
      <c r="L32" s="281"/>
      <c r="M32" s="281"/>
    </row>
    <row r="33" spans="2:13" x14ac:dyDescent="0.2">
      <c r="B33" s="283" t="s">
        <v>392</v>
      </c>
      <c r="L33" s="281"/>
      <c r="M33" s="281"/>
    </row>
    <row r="34" spans="2:13" x14ac:dyDescent="0.2">
      <c r="B34" s="334" t="s">
        <v>374</v>
      </c>
      <c r="C34" s="335" t="s">
        <v>375</v>
      </c>
      <c r="D34" s="336"/>
      <c r="E34" s="336"/>
      <c r="F34" s="336"/>
      <c r="G34" s="336"/>
      <c r="H34" s="337"/>
      <c r="I34" s="281"/>
      <c r="L34" s="281"/>
      <c r="M34" s="281"/>
    </row>
    <row r="35" spans="2:13" x14ac:dyDescent="0.2">
      <c r="B35" s="334"/>
      <c r="C35" s="291" t="s">
        <v>34</v>
      </c>
      <c r="D35" s="291" t="s">
        <v>33</v>
      </c>
      <c r="E35" s="335" t="s">
        <v>376</v>
      </c>
      <c r="F35" s="337"/>
      <c r="G35" s="291" t="s">
        <v>32</v>
      </c>
      <c r="H35" s="291" t="s">
        <v>31</v>
      </c>
      <c r="I35" s="281"/>
      <c r="L35" s="281"/>
      <c r="M35" s="281"/>
    </row>
    <row r="36" spans="2:13" x14ac:dyDescent="0.2">
      <c r="B36" s="334"/>
      <c r="C36" s="291" t="s">
        <v>377</v>
      </c>
      <c r="D36" s="291" t="s">
        <v>377</v>
      </c>
      <c r="E36" s="291" t="s">
        <v>377</v>
      </c>
      <c r="F36" s="291" t="s">
        <v>378</v>
      </c>
      <c r="G36" s="291" t="s">
        <v>378</v>
      </c>
      <c r="H36" s="291" t="s">
        <v>378</v>
      </c>
      <c r="I36" s="281"/>
      <c r="L36" s="281"/>
      <c r="M36" s="281"/>
    </row>
    <row r="37" spans="2:13" x14ac:dyDescent="0.2">
      <c r="B37" s="334"/>
      <c r="C37" s="338" t="s">
        <v>393</v>
      </c>
      <c r="D37" s="339"/>
      <c r="E37" s="339"/>
      <c r="F37" s="339"/>
      <c r="G37" s="339"/>
      <c r="H37" s="340"/>
      <c r="I37" s="281"/>
      <c r="L37" s="281"/>
      <c r="M37" s="281"/>
    </row>
    <row r="38" spans="2:13" x14ac:dyDescent="0.2">
      <c r="B38" s="285" t="s">
        <v>381</v>
      </c>
      <c r="C38" s="287">
        <v>295</v>
      </c>
      <c r="D38" s="287">
        <v>295</v>
      </c>
      <c r="E38" s="287">
        <v>295</v>
      </c>
      <c r="F38" s="292">
        <v>1195</v>
      </c>
      <c r="G38" s="292">
        <v>1195</v>
      </c>
      <c r="H38" s="292">
        <v>1195</v>
      </c>
      <c r="I38" s="281"/>
      <c r="L38" s="281"/>
      <c r="M38" s="281"/>
    </row>
    <row r="39" spans="2:13" x14ac:dyDescent="0.2">
      <c r="B39" s="285" t="s">
        <v>201</v>
      </c>
      <c r="C39" s="287">
        <v>620</v>
      </c>
      <c r="D39" s="287">
        <v>620</v>
      </c>
      <c r="E39" s="287">
        <v>620</v>
      </c>
      <c r="F39" s="286">
        <v>2500</v>
      </c>
      <c r="G39" s="286">
        <v>2500</v>
      </c>
      <c r="H39" s="286">
        <v>2500</v>
      </c>
      <c r="I39" s="281"/>
      <c r="L39" s="281"/>
      <c r="M39" s="281"/>
    </row>
    <row r="40" spans="2:13" x14ac:dyDescent="0.2">
      <c r="B40" s="285" t="s">
        <v>383</v>
      </c>
      <c r="C40" s="287">
        <v>260</v>
      </c>
      <c r="D40" s="287">
        <v>260</v>
      </c>
      <c r="E40" s="287">
        <v>260</v>
      </c>
      <c r="F40" s="286">
        <v>1055</v>
      </c>
      <c r="G40" s="286">
        <v>1055</v>
      </c>
      <c r="H40" s="286">
        <v>1055</v>
      </c>
      <c r="I40" s="281"/>
      <c r="L40" s="281"/>
      <c r="M40" s="281"/>
    </row>
    <row r="41" spans="2:13" ht="14.25" x14ac:dyDescent="0.2">
      <c r="B41" s="285" t="s">
        <v>384</v>
      </c>
      <c r="C41" s="293" t="s">
        <v>394</v>
      </c>
      <c r="D41" s="293" t="s">
        <v>394</v>
      </c>
      <c r="E41" s="293" t="s">
        <v>394</v>
      </c>
      <c r="F41" s="293" t="s">
        <v>394</v>
      </c>
      <c r="G41" s="293" t="s">
        <v>394</v>
      </c>
      <c r="H41" s="293" t="s">
        <v>394</v>
      </c>
      <c r="I41" s="281"/>
      <c r="L41" s="281"/>
      <c r="M41" s="281"/>
    </row>
    <row r="42" spans="2:13" ht="14.25" x14ac:dyDescent="0.2">
      <c r="B42" s="285" t="s">
        <v>385</v>
      </c>
      <c r="C42" s="293" t="s">
        <v>394</v>
      </c>
      <c r="D42" s="293" t="s">
        <v>394</v>
      </c>
      <c r="E42" s="293" t="s">
        <v>394</v>
      </c>
      <c r="F42" s="293" t="s">
        <v>394</v>
      </c>
      <c r="G42" s="293" t="s">
        <v>394</v>
      </c>
      <c r="H42" s="293" t="s">
        <v>394</v>
      </c>
      <c r="I42" s="281"/>
      <c r="L42" s="281"/>
      <c r="M42" s="281"/>
    </row>
    <row r="43" spans="2:13" x14ac:dyDescent="0.2">
      <c r="B43" s="288" t="s">
        <v>395</v>
      </c>
      <c r="D43" s="294"/>
      <c r="L43" s="281"/>
      <c r="M43" s="281"/>
    </row>
    <row r="44" spans="2:13" x14ac:dyDescent="0.2">
      <c r="B44" s="288" t="s">
        <v>396</v>
      </c>
      <c r="D44" s="294"/>
      <c r="L44" s="281"/>
      <c r="M44" s="281"/>
    </row>
    <row r="47" spans="2:13" x14ac:dyDescent="0.2">
      <c r="B47" s="283" t="s">
        <v>397</v>
      </c>
      <c r="L47" s="281"/>
      <c r="M47" s="281"/>
    </row>
    <row r="48" spans="2:13" x14ac:dyDescent="0.2">
      <c r="B48" s="334" t="s">
        <v>374</v>
      </c>
      <c r="C48" s="335" t="s">
        <v>375</v>
      </c>
      <c r="D48" s="336"/>
      <c r="E48" s="336"/>
      <c r="F48" s="336"/>
      <c r="G48" s="336"/>
      <c r="H48" s="337"/>
      <c r="I48" s="281"/>
      <c r="J48" s="281"/>
      <c r="K48" s="281"/>
      <c r="L48" s="281"/>
      <c r="M48" s="281"/>
    </row>
    <row r="49" spans="2:13" x14ac:dyDescent="0.2">
      <c r="B49" s="334"/>
      <c r="C49" s="291" t="s">
        <v>34</v>
      </c>
      <c r="D49" s="291" t="s">
        <v>33</v>
      </c>
      <c r="E49" s="335" t="s">
        <v>376</v>
      </c>
      <c r="F49" s="337"/>
      <c r="G49" s="291" t="s">
        <v>32</v>
      </c>
      <c r="H49" s="291" t="s">
        <v>31</v>
      </c>
      <c r="I49" s="281"/>
      <c r="J49" s="281"/>
      <c r="K49" s="281"/>
      <c r="L49" s="281"/>
      <c r="M49" s="281"/>
    </row>
    <row r="50" spans="2:13" x14ac:dyDescent="0.2">
      <c r="B50" s="334"/>
      <c r="C50" s="291" t="s">
        <v>377</v>
      </c>
      <c r="D50" s="291" t="s">
        <v>377</v>
      </c>
      <c r="E50" s="291" t="s">
        <v>377</v>
      </c>
      <c r="F50" s="291" t="s">
        <v>378</v>
      </c>
      <c r="G50" s="291" t="s">
        <v>378</v>
      </c>
      <c r="H50" s="291" t="s">
        <v>378</v>
      </c>
      <c r="I50" s="281"/>
      <c r="J50" s="281"/>
      <c r="K50" s="281"/>
      <c r="L50" s="281"/>
      <c r="M50" s="281"/>
    </row>
    <row r="51" spans="2:13" x14ac:dyDescent="0.2">
      <c r="B51" s="334"/>
      <c r="C51" s="338" t="s">
        <v>393</v>
      </c>
      <c r="D51" s="339"/>
      <c r="E51" s="339"/>
      <c r="F51" s="339"/>
      <c r="G51" s="339"/>
      <c r="H51" s="340"/>
      <c r="I51" s="281"/>
      <c r="J51" s="281"/>
      <c r="K51" s="281"/>
      <c r="L51" s="281"/>
      <c r="M51" s="281"/>
    </row>
    <row r="52" spans="2:13" x14ac:dyDescent="0.2">
      <c r="B52" s="285" t="s">
        <v>381</v>
      </c>
      <c r="C52" s="295">
        <v>176.66666666666666</v>
      </c>
      <c r="D52" s="295">
        <v>176.66666666666666</v>
      </c>
      <c r="E52" s="295">
        <v>176.66666666666666</v>
      </c>
      <c r="F52" s="296">
        <v>716.66666666666663</v>
      </c>
      <c r="G52" s="295">
        <v>716.66666666666663</v>
      </c>
      <c r="H52" s="295">
        <v>716.66666666666663</v>
      </c>
      <c r="I52" s="281"/>
      <c r="J52" s="281"/>
      <c r="K52" s="281"/>
      <c r="L52" s="281"/>
      <c r="M52" s="281"/>
    </row>
    <row r="53" spans="2:13" x14ac:dyDescent="0.2">
      <c r="B53" s="285" t="s">
        <v>201</v>
      </c>
      <c r="C53" s="287">
        <v>115</v>
      </c>
      <c r="D53" s="287">
        <v>115</v>
      </c>
      <c r="E53" s="287">
        <v>115</v>
      </c>
      <c r="F53" s="286">
        <v>465</v>
      </c>
      <c r="G53" s="287">
        <v>465</v>
      </c>
      <c r="H53" s="287">
        <v>465</v>
      </c>
      <c r="I53" s="281"/>
      <c r="J53" s="281"/>
      <c r="K53" s="281"/>
      <c r="L53" s="281"/>
      <c r="M53" s="281"/>
    </row>
    <row r="54" spans="2:13" x14ac:dyDescent="0.2">
      <c r="B54" s="285" t="s">
        <v>383</v>
      </c>
      <c r="C54" s="287">
        <v>78</v>
      </c>
      <c r="D54" s="287">
        <v>78</v>
      </c>
      <c r="E54" s="287">
        <v>78</v>
      </c>
      <c r="F54" s="286">
        <v>312</v>
      </c>
      <c r="G54" s="287">
        <v>312</v>
      </c>
      <c r="H54" s="287">
        <v>312</v>
      </c>
      <c r="I54" s="281"/>
      <c r="J54" s="281"/>
      <c r="K54" s="281"/>
      <c r="L54" s="281"/>
      <c r="M54" s="281"/>
    </row>
    <row r="55" spans="2:13" ht="14.25" x14ac:dyDescent="0.2">
      <c r="B55" s="285" t="s">
        <v>384</v>
      </c>
      <c r="C55" s="293" t="s">
        <v>394</v>
      </c>
      <c r="D55" s="293" t="s">
        <v>394</v>
      </c>
      <c r="E55" s="293" t="s">
        <v>394</v>
      </c>
      <c r="F55" s="293" t="s">
        <v>394</v>
      </c>
      <c r="G55" s="293" t="s">
        <v>394</v>
      </c>
      <c r="H55" s="293" t="s">
        <v>394</v>
      </c>
      <c r="I55" s="281"/>
      <c r="J55" s="281"/>
      <c r="K55" s="281"/>
      <c r="L55" s="281"/>
      <c r="M55" s="281"/>
    </row>
    <row r="56" spans="2:13" ht="14.25" x14ac:dyDescent="0.2">
      <c r="B56" s="285" t="s">
        <v>385</v>
      </c>
      <c r="C56" s="293" t="s">
        <v>394</v>
      </c>
      <c r="D56" s="293" t="s">
        <v>394</v>
      </c>
      <c r="E56" s="293" t="s">
        <v>394</v>
      </c>
      <c r="F56" s="293" t="s">
        <v>394</v>
      </c>
      <c r="G56" s="293" t="s">
        <v>394</v>
      </c>
      <c r="H56" s="293" t="s">
        <v>394</v>
      </c>
      <c r="I56" s="281"/>
      <c r="J56" s="281"/>
      <c r="K56" s="281"/>
      <c r="L56" s="281"/>
      <c r="M56" s="281"/>
    </row>
    <row r="57" spans="2:13" x14ac:dyDescent="0.2">
      <c r="B57" s="288" t="s">
        <v>395</v>
      </c>
      <c r="D57" s="294"/>
      <c r="J57" s="281"/>
      <c r="K57" s="281"/>
      <c r="L57" s="281"/>
      <c r="M57" s="281"/>
    </row>
    <row r="58" spans="2:13" x14ac:dyDescent="0.2">
      <c r="B58" s="288" t="s">
        <v>396</v>
      </c>
      <c r="D58" s="294"/>
      <c r="J58" s="281"/>
      <c r="K58" s="281"/>
      <c r="L58" s="281"/>
      <c r="M58" s="281"/>
    </row>
  </sheetData>
  <mergeCells count="25">
    <mergeCell ref="K5:L5"/>
    <mergeCell ref="B12:L13"/>
    <mergeCell ref="B19:B22"/>
    <mergeCell ref="C19:D19"/>
    <mergeCell ref="C20:D20"/>
    <mergeCell ref="C21:D21"/>
    <mergeCell ref="B3:B6"/>
    <mergeCell ref="C3:L3"/>
    <mergeCell ref="C4:D4"/>
    <mergeCell ref="E4:H4"/>
    <mergeCell ref="I4:J4"/>
    <mergeCell ref="K4:L4"/>
    <mergeCell ref="C5:D5"/>
    <mergeCell ref="E5:F5"/>
    <mergeCell ref="G5:H5"/>
    <mergeCell ref="I5:J5"/>
    <mergeCell ref="B48:B51"/>
    <mergeCell ref="C48:H48"/>
    <mergeCell ref="E49:F49"/>
    <mergeCell ref="C51:H51"/>
    <mergeCell ref="B28:K28"/>
    <mergeCell ref="B34:B37"/>
    <mergeCell ref="C34:H34"/>
    <mergeCell ref="E35:F35"/>
    <mergeCell ref="C37:H3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heetViews>
  <sheetFormatPr defaultRowHeight="12.75" x14ac:dyDescent="0.2"/>
  <sheetData>
    <row r="1" spans="1:2" x14ac:dyDescent="0.2">
      <c r="A1" t="s">
        <v>401</v>
      </c>
      <c r="B1" t="s">
        <v>402</v>
      </c>
    </row>
    <row r="2" spans="1:2" x14ac:dyDescent="0.2">
      <c r="A2" t="s">
        <v>31</v>
      </c>
      <c r="B2">
        <v>200000</v>
      </c>
    </row>
    <row r="3" spans="1:2" x14ac:dyDescent="0.2">
      <c r="A3" t="s">
        <v>32</v>
      </c>
      <c r="B3">
        <v>200000</v>
      </c>
    </row>
    <row r="4" spans="1:2" x14ac:dyDescent="0.2">
      <c r="A4" t="s">
        <v>56</v>
      </c>
      <c r="B4">
        <v>200000</v>
      </c>
    </row>
    <row r="5" spans="1:2" x14ac:dyDescent="0.2">
      <c r="A5" t="s">
        <v>38</v>
      </c>
      <c r="B5">
        <v>50000</v>
      </c>
    </row>
    <row r="6" spans="1:2" x14ac:dyDescent="0.2">
      <c r="A6" t="s">
        <v>33</v>
      </c>
      <c r="B6">
        <v>50000</v>
      </c>
    </row>
    <row r="7" spans="1:2" x14ac:dyDescent="0.2">
      <c r="A7" t="s">
        <v>34</v>
      </c>
      <c r="B7">
        <v>50000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4"/>
  <sheetViews>
    <sheetView workbookViewId="0"/>
  </sheetViews>
  <sheetFormatPr defaultRowHeight="12.75" x14ac:dyDescent="0.2"/>
  <cols>
    <col min="1" max="1" width="7" style="10" customWidth="1"/>
    <col min="2" max="2" width="18.83203125" style="10" customWidth="1"/>
    <col min="3" max="3" width="16.83203125" style="10" bestFit="1" customWidth="1"/>
    <col min="4" max="4" width="16.5" style="10" bestFit="1" customWidth="1"/>
    <col min="5" max="5" width="16.33203125" style="10" bestFit="1" customWidth="1"/>
    <col min="6" max="6" width="16.83203125" style="10" bestFit="1" customWidth="1"/>
    <col min="7" max="7" width="18.33203125" style="10" bestFit="1" customWidth="1"/>
    <col min="8" max="8" width="18" style="10" bestFit="1" customWidth="1"/>
    <col min="9" max="9" width="18.83203125" style="10" customWidth="1"/>
    <col min="10" max="10" width="24.1640625" style="10" bestFit="1" customWidth="1"/>
    <col min="11" max="11" width="23.1640625" style="10" bestFit="1" customWidth="1"/>
    <col min="12" max="12" width="22.83203125" style="10" bestFit="1" customWidth="1"/>
    <col min="13" max="13" width="22" style="10" bestFit="1" customWidth="1"/>
    <col min="14" max="14" width="22.1640625" style="10" bestFit="1" customWidth="1"/>
    <col min="15" max="15" width="22.5" style="10" bestFit="1" customWidth="1"/>
    <col min="16" max="16" width="21.6640625" style="10" bestFit="1" customWidth="1"/>
    <col min="17" max="17" width="21.83203125" style="10" customWidth="1"/>
    <col min="18" max="18" width="23.33203125" style="10" bestFit="1" customWidth="1"/>
    <col min="19" max="19" width="22.5" style="10" bestFit="1" customWidth="1"/>
    <col min="20" max="20" width="22.6640625" style="10" bestFit="1" customWidth="1"/>
    <col min="21" max="21" width="23" style="10" bestFit="1" customWidth="1"/>
    <col min="22" max="22" width="22.1640625" style="10" bestFit="1" customWidth="1"/>
    <col min="23" max="23" width="22.33203125" style="10" bestFit="1" customWidth="1"/>
    <col min="24" max="24" width="14.5" style="10" bestFit="1" customWidth="1"/>
    <col min="25" max="16384" width="9.33203125" style="10"/>
  </cols>
  <sheetData>
    <row r="1" spans="1:24" x14ac:dyDescent="0.2">
      <c r="A1" s="47" t="s">
        <v>37</v>
      </c>
      <c r="B1" s="47" t="s">
        <v>55</v>
      </c>
      <c r="C1" s="49" t="s">
        <v>285</v>
      </c>
      <c r="D1" s="49" t="s">
        <v>286</v>
      </c>
      <c r="E1" s="49" t="s">
        <v>287</v>
      </c>
      <c r="F1" s="49" t="s">
        <v>288</v>
      </c>
      <c r="G1" s="49" t="s">
        <v>421</v>
      </c>
      <c r="H1" s="49" t="s">
        <v>422</v>
      </c>
      <c r="I1" s="49" t="s">
        <v>444</v>
      </c>
      <c r="J1" s="49" t="s">
        <v>289</v>
      </c>
      <c r="K1" s="48" t="s">
        <v>433</v>
      </c>
      <c r="L1" s="49" t="s">
        <v>290</v>
      </c>
      <c r="M1" s="49" t="s">
        <v>291</v>
      </c>
      <c r="N1" s="49" t="s">
        <v>292</v>
      </c>
      <c r="O1" s="49" t="s">
        <v>293</v>
      </c>
      <c r="P1" s="49" t="s">
        <v>294</v>
      </c>
      <c r="Q1" s="49" t="s">
        <v>295</v>
      </c>
      <c r="R1" s="49" t="s">
        <v>296</v>
      </c>
      <c r="S1" s="49" t="s">
        <v>297</v>
      </c>
      <c r="T1" s="49" t="s">
        <v>298</v>
      </c>
      <c r="U1" s="49" t="s">
        <v>299</v>
      </c>
      <c r="V1" s="49" t="s">
        <v>300</v>
      </c>
      <c r="W1" s="49" t="s">
        <v>301</v>
      </c>
      <c r="X1" s="49" t="s">
        <v>302</v>
      </c>
    </row>
    <row r="2" spans="1:24" x14ac:dyDescent="0.2">
      <c r="A2" s="10" t="s">
        <v>34</v>
      </c>
      <c r="B2" s="46" t="s">
        <v>3</v>
      </c>
      <c r="C2" s="51">
        <f>HLOOKUP($B2, [1]Aero_SCR_Filtered!$G$5:$L$39, 8, FALSE)</f>
        <v>9690</v>
      </c>
      <c r="D2" s="51">
        <f>HLOOKUP($B2, [1]Aero_SCR_Filtered!$G$5:$L$39, 9, FALSE)</f>
        <v>9440</v>
      </c>
      <c r="E2" s="272">
        <f>HLOOKUP($B2, [1]Aero_SCR_Filtered!$G$5:$L$39, 32, FALSE)</f>
        <v>9.7200000000000006</v>
      </c>
      <c r="F2" s="272">
        <f>HLOOKUP($B2, [1]Aero_SCR_Filtered!$G$5:$L$39, 33, FALSE)</f>
        <v>9.7899999999999991</v>
      </c>
      <c r="G2" s="272">
        <f>HLOOKUP($B2, [1]Aero_SCR_Filtered!$G$5:$L$39, 4, FALSE)</f>
        <v>166.1</v>
      </c>
      <c r="H2" s="272">
        <f>HLOOKUP($B2, [1]Aero_SCR_Filtered!$G$5:$L$39, 5, FALSE)</f>
        <v>188.2</v>
      </c>
      <c r="I2" s="272">
        <f>HLOOKUP($B2, [1]Aero_SCR_Filtered!$G$5:$L$39, 34, FALSE)</f>
        <v>570</v>
      </c>
      <c r="J2" s="272">
        <f>HLOOKUP($B2, [1]Aero_SCR_Filtered!$G$5:$L$39, 29, FALSE)</f>
        <v>100</v>
      </c>
      <c r="K2" s="272">
        <f>IF(HLOOKUP($B2, [1]Aero_SCR_Filtered!$G$5:$L$39, 35, FALSE)="N/A", 0, HLOOKUP($B2, [1]Aero_SCR_Filtered!$G$5:$L$39, 35, FALSE))</f>
        <v>0</v>
      </c>
      <c r="L2" s="272">
        <f>HLOOKUP($B2, [1]Aero_SCR_Filtered!$G$5:$L$39, 12, FALSE)</f>
        <v>13.3</v>
      </c>
      <c r="M2" s="272">
        <f>HLOOKUP($B2, [1]Aero_SCR_Filtered!$G$5:$L$39, 13, FALSE)</f>
        <v>3.5</v>
      </c>
      <c r="N2" s="272">
        <f>HLOOKUP($B2, [1]Aero_SCR_Filtered!$G$5:$L$39, 14, FALSE)</f>
        <v>208800</v>
      </c>
      <c r="O2" s="272">
        <f>HLOOKUP($B2, [1]Aero_SCR_Filtered!$G$5:$L$39, 16, FALSE)</f>
        <v>12.956862745098039</v>
      </c>
      <c r="P2" s="272">
        <f>HLOOKUP($B2, [1]Aero_SCR_Filtered!$G$5:$L$39, 17, FALSE)</f>
        <v>3.4097007223942208</v>
      </c>
      <c r="Q2" s="272">
        <f>HLOOKUP($B2, [1]Aero_SCR_Filtered!$G$5:$L$39, 18, FALSE)</f>
        <v>203413.00309597523</v>
      </c>
      <c r="R2" s="272">
        <f>HLOOKUP($B2, [1]Aero_SCR_Filtered!$G$5:$L$39, 20, FALSE)</f>
        <v>41.7</v>
      </c>
      <c r="S2" s="272">
        <f>HLOOKUP($B2, [1]Aero_SCR_Filtered!$G$5:$L$39, 21, FALSE)</f>
        <v>2.6</v>
      </c>
      <c r="T2" s="272">
        <f>HLOOKUP($B2, [1]Aero_SCR_Filtered!$G$5:$L$39, 22, FALSE)</f>
        <v>278400</v>
      </c>
      <c r="U2" s="272">
        <f>HLOOKUP($B2, [1]Aero_SCR_Filtered!$G$5:$L$39, 24, FALSE)</f>
        <v>40.624148606811147</v>
      </c>
      <c r="V2" s="272">
        <f>HLOOKUP($B2, [1]Aero_SCR_Filtered!$G$5:$L$39, 25, FALSE)</f>
        <v>2.5329205366357068</v>
      </c>
      <c r="W2" s="272">
        <f>HLOOKUP($B2, [1]Aero_SCR_Filtered!$G$5:$L$39, 26, FALSE)</f>
        <v>271217.33746130031</v>
      </c>
      <c r="X2" s="272">
        <f>1-HLOOKUP($B2, [1]Aero_SCR_Filtered!$G$5:$L$39, 30, FALSE)</f>
        <v>0.89969999999999994</v>
      </c>
    </row>
    <row r="3" spans="1:24" x14ac:dyDescent="0.2">
      <c r="A3" s="10" t="s">
        <v>33</v>
      </c>
      <c r="B3" s="46" t="s">
        <v>30</v>
      </c>
      <c r="C3" s="51">
        <f>HLOOKUP($B3, [1]Aero_SCR_Filtered!$G$5:$L$39, 8, FALSE)</f>
        <v>9690</v>
      </c>
      <c r="D3" s="51">
        <f>HLOOKUP($B3, [1]Aero_SCR_Filtered!$G$5:$L$39, 9, FALSE)</f>
        <v>9450</v>
      </c>
      <c r="E3" s="272">
        <f>HLOOKUP($B3, [1]Aero_SCR_Filtered!$G$5:$L$39, 32, FALSE)</f>
        <v>10.17</v>
      </c>
      <c r="F3" s="272">
        <f>HLOOKUP($B3, [1]Aero_SCR_Filtered!$G$5:$L$39, 33, FALSE)</f>
        <v>10.210000000000001</v>
      </c>
      <c r="G3" s="272">
        <f>HLOOKUP($B3, [1]Aero_SCR_Filtered!$G$5:$L$39, 4, FALSE)</f>
        <v>166.4</v>
      </c>
      <c r="H3" s="272">
        <f>HLOOKUP($B3, [1]Aero_SCR_Filtered!$G$5:$L$39, 5, FALSE)</f>
        <v>188.2</v>
      </c>
      <c r="I3" s="272">
        <f>HLOOKUP($B3, [1]Aero_SCR_Filtered!$G$5:$L$39, 34, FALSE)</f>
        <v>570</v>
      </c>
      <c r="J3" s="272">
        <f>HLOOKUP($B3, [1]Aero_SCR_Filtered!$G$5:$L$39, 29, FALSE)</f>
        <v>100</v>
      </c>
      <c r="K3" s="272">
        <f>IF(HLOOKUP($B3, [1]Aero_SCR_Filtered!$G$5:$L$39, 35, FALSE)="N/A", 0, HLOOKUP($B3, [1]Aero_SCR_Filtered!$G$5:$L$39, 35, FALSE))</f>
        <v>0</v>
      </c>
      <c r="L3" s="272">
        <f>HLOOKUP($B3, [1]Aero_SCR_Filtered!$G$5:$L$39, 12, FALSE)</f>
        <v>13.3</v>
      </c>
      <c r="M3" s="272">
        <f>HLOOKUP($B3, [1]Aero_SCR_Filtered!$G$5:$L$39, 13, FALSE)</f>
        <v>3.5</v>
      </c>
      <c r="N3" s="272">
        <f>HLOOKUP($B3, [1]Aero_SCR_Filtered!$G$5:$L$39, 14, FALSE)</f>
        <v>208800</v>
      </c>
      <c r="O3" s="272">
        <f>HLOOKUP($B3, [1]Aero_SCR_Filtered!$G$5:$L$39, 16, FALSE)</f>
        <v>12.970588235294118</v>
      </c>
      <c r="P3" s="272">
        <f>HLOOKUP($B3, [1]Aero_SCR_Filtered!$G$5:$L$39, 17, FALSE)</f>
        <v>3.4133126934984519</v>
      </c>
      <c r="Q3" s="272">
        <f>HLOOKUP($B3, [1]Aero_SCR_Filtered!$G$5:$L$39, 18, FALSE)</f>
        <v>203628.48297213623</v>
      </c>
      <c r="R3" s="272">
        <f>HLOOKUP($B3, [1]Aero_SCR_Filtered!$G$5:$L$39, 20, FALSE)</f>
        <v>41.7</v>
      </c>
      <c r="S3" s="272">
        <f>HLOOKUP($B3, [1]Aero_SCR_Filtered!$G$5:$L$39, 21, FALSE)</f>
        <v>2.6</v>
      </c>
      <c r="T3" s="272">
        <f>HLOOKUP($B3, [1]Aero_SCR_Filtered!$G$5:$L$39, 22, FALSE)</f>
        <v>278400</v>
      </c>
      <c r="U3" s="272">
        <f>HLOOKUP($B3, [1]Aero_SCR_Filtered!$G$5:$L$39, 24, FALSE)</f>
        <v>40.6671826625387</v>
      </c>
      <c r="V3" s="272">
        <f>HLOOKUP($B3, [1]Aero_SCR_Filtered!$G$5:$L$39, 25, FALSE)</f>
        <v>2.5356037151702786</v>
      </c>
      <c r="W3" s="272">
        <f>HLOOKUP($B3, [1]Aero_SCR_Filtered!$G$5:$L$39, 26, FALSE)</f>
        <v>271504.64396284829</v>
      </c>
      <c r="X3" s="272">
        <f>1-HLOOKUP($B3, [1]Aero_SCR_Filtered!$G$5:$L$39, 30, FALSE)</f>
        <v>0.89969999999999994</v>
      </c>
    </row>
    <row r="4" spans="1:24" x14ac:dyDescent="0.2">
      <c r="A4" s="10" t="s">
        <v>56</v>
      </c>
      <c r="B4" s="46" t="s">
        <v>22</v>
      </c>
      <c r="C4" s="51">
        <f>HLOOKUP($B4, [1]Aero_SCR_Filtered!$G$5:$L$39, 8, FALSE)</f>
        <v>9700</v>
      </c>
      <c r="D4" s="51">
        <f>HLOOKUP($B4, [1]Aero_SCR_Filtered!$G$5:$L$39, 9, FALSE)</f>
        <v>9430</v>
      </c>
      <c r="E4" s="272">
        <f>HLOOKUP($B4, [1]Aero_SCR_Filtered!$G$5:$L$39, 32, FALSE)</f>
        <v>9.85</v>
      </c>
      <c r="F4" s="272">
        <f>HLOOKUP($B4, [1]Aero_SCR_Filtered!$G$5:$L$39, 33, FALSE)</f>
        <v>9.9</v>
      </c>
      <c r="G4" s="272">
        <f>HLOOKUP($B4, [1]Aero_SCR_Filtered!$G$5:$L$39, 4, FALSE)</f>
        <v>165.9</v>
      </c>
      <c r="H4" s="272">
        <f>HLOOKUP($B4, [1]Aero_SCR_Filtered!$G$5:$L$39, 5, FALSE)</f>
        <v>188.2</v>
      </c>
      <c r="I4" s="272">
        <f>HLOOKUP($B4, [1]Aero_SCR_Filtered!$G$5:$L$39, 34, FALSE)</f>
        <v>570</v>
      </c>
      <c r="J4" s="272">
        <f>HLOOKUP($B4, [1]Aero_SCR_Filtered!$G$5:$L$39, 29, FALSE)</f>
        <v>100</v>
      </c>
      <c r="K4" s="272">
        <f>IF(HLOOKUP($B4, [1]Aero_SCR_Filtered!$G$5:$L$39, 35, FALSE)="N/A", 0, HLOOKUP($B4, [1]Aero_SCR_Filtered!$G$5:$L$39, 35, FALSE))</f>
        <v>0</v>
      </c>
      <c r="L4" s="272">
        <f>HLOOKUP($B4, [1]Aero_SCR_Filtered!$G$5:$L$39, 12, FALSE)</f>
        <v>13.3</v>
      </c>
      <c r="M4" s="272">
        <f>HLOOKUP($B4, [1]Aero_SCR_Filtered!$G$5:$L$39, 13, FALSE)</f>
        <v>3.5</v>
      </c>
      <c r="N4" s="272">
        <f>HLOOKUP($B4, [1]Aero_SCR_Filtered!$G$5:$L$39, 14, FALSE)</f>
        <v>208800</v>
      </c>
      <c r="O4" s="272">
        <f>HLOOKUP($B4, [1]Aero_SCR_Filtered!$G$5:$L$39, 16, FALSE)</f>
        <v>12.92979381443299</v>
      </c>
      <c r="P4" s="272">
        <f>HLOOKUP($B4, [1]Aero_SCR_Filtered!$G$5:$L$39, 17, FALSE)</f>
        <v>3.4025773195876288</v>
      </c>
      <c r="Q4" s="272">
        <f>HLOOKUP($B4, [1]Aero_SCR_Filtered!$G$5:$L$39, 18, FALSE)</f>
        <v>202988.04123711342</v>
      </c>
      <c r="R4" s="272">
        <f>HLOOKUP($B4, [1]Aero_SCR_Filtered!$G$5:$L$39, 20, FALSE)</f>
        <v>41.7</v>
      </c>
      <c r="S4" s="272">
        <f>HLOOKUP($B4, [1]Aero_SCR_Filtered!$G$5:$L$39, 21, FALSE)</f>
        <v>2.6</v>
      </c>
      <c r="T4" s="272">
        <f>HLOOKUP($B4, [1]Aero_SCR_Filtered!$G$5:$L$39, 22, FALSE)</f>
        <v>278400</v>
      </c>
      <c r="U4" s="272">
        <f>HLOOKUP($B4, [1]Aero_SCR_Filtered!$G$5:$L$39, 24, FALSE)</f>
        <v>40.539278350515467</v>
      </c>
      <c r="V4" s="272">
        <f>HLOOKUP($B4, [1]Aero_SCR_Filtered!$G$5:$L$39, 25, FALSE)</f>
        <v>2.5276288659793815</v>
      </c>
      <c r="W4" s="272">
        <f>HLOOKUP($B4, [1]Aero_SCR_Filtered!$G$5:$L$39, 26, FALSE)</f>
        <v>270650.72164948453</v>
      </c>
      <c r="X4" s="272">
        <f>1-HLOOKUP($B4, [1]Aero_SCR_Filtered!$G$5:$L$39, 30, FALSE)</f>
        <v>0.89969999999999994</v>
      </c>
    </row>
    <row r="5" spans="1:24" x14ac:dyDescent="0.2">
      <c r="A5" s="10" t="s">
        <v>38</v>
      </c>
      <c r="B5" s="46" t="s">
        <v>23</v>
      </c>
      <c r="C5" s="51">
        <f>HLOOKUP($B5, [1]Aero_SCR_Filtered!$G$5:$L$39, 8, FALSE)</f>
        <v>9700</v>
      </c>
      <c r="D5" s="51">
        <f>HLOOKUP($B5, [1]Aero_SCR_Filtered!$G$5:$L$39, 9, FALSE)</f>
        <v>9440</v>
      </c>
      <c r="E5" s="272">
        <f>HLOOKUP($B5, [1]Aero_SCR_Filtered!$G$5:$L$39, 32, FALSE)</f>
        <v>9.85</v>
      </c>
      <c r="F5" s="272">
        <f>HLOOKUP($B5, [1]Aero_SCR_Filtered!$G$5:$L$39, 33, FALSE)</f>
        <v>9.9</v>
      </c>
      <c r="G5" s="272">
        <f>HLOOKUP($B5, [1]Aero_SCR_Filtered!$G$5:$L$39, 4, FALSE)</f>
        <v>165.9</v>
      </c>
      <c r="H5" s="272">
        <f>HLOOKUP($B5, [1]Aero_SCR_Filtered!$G$5:$L$39, 5, FALSE)</f>
        <v>188.2</v>
      </c>
      <c r="I5" s="272">
        <f>HLOOKUP($B5, [1]Aero_SCR_Filtered!$G$5:$L$39, 34, FALSE)</f>
        <v>570</v>
      </c>
      <c r="J5" s="272">
        <f>HLOOKUP($B5, [1]Aero_SCR_Filtered!$G$5:$L$39, 29, FALSE)</f>
        <v>100</v>
      </c>
      <c r="K5" s="272">
        <f>IF(HLOOKUP($B5, [1]Aero_SCR_Filtered!$G$5:$L$39, 35, FALSE)="N/A", 0, HLOOKUP($B5, [1]Aero_SCR_Filtered!$G$5:$L$39, 35, FALSE))</f>
        <v>0</v>
      </c>
      <c r="L5" s="272">
        <f>HLOOKUP($B5, [1]Aero_SCR_Filtered!$G$5:$L$39, 12, FALSE)</f>
        <v>13.3</v>
      </c>
      <c r="M5" s="272">
        <f>HLOOKUP($B5, [1]Aero_SCR_Filtered!$G$5:$L$39, 13, FALSE)</f>
        <v>3.5</v>
      </c>
      <c r="N5" s="272">
        <f>HLOOKUP($B5, [1]Aero_SCR_Filtered!$G$5:$L$39, 14, FALSE)</f>
        <v>208800</v>
      </c>
      <c r="O5" s="272">
        <f>HLOOKUP($B5, [1]Aero_SCR_Filtered!$G$5:$L$39, 16, FALSE)</f>
        <v>12.943505154639174</v>
      </c>
      <c r="P5" s="272">
        <f>HLOOKUP($B5, [1]Aero_SCR_Filtered!$G$5:$L$39, 17, FALSE)</f>
        <v>3.4061855670103092</v>
      </c>
      <c r="Q5" s="272">
        <f>HLOOKUP($B5, [1]Aero_SCR_Filtered!$G$5:$L$39, 18, FALSE)</f>
        <v>203203.29896907217</v>
      </c>
      <c r="R5" s="272">
        <f>HLOOKUP($B5, [1]Aero_SCR_Filtered!$G$5:$L$39, 20, FALSE)</f>
        <v>41.7</v>
      </c>
      <c r="S5" s="272">
        <f>HLOOKUP($B5, [1]Aero_SCR_Filtered!$G$5:$L$39, 21, FALSE)</f>
        <v>2.6</v>
      </c>
      <c r="T5" s="272">
        <f>HLOOKUP($B5, [1]Aero_SCR_Filtered!$G$5:$L$39, 22, FALSE)</f>
        <v>278400</v>
      </c>
      <c r="U5" s="272">
        <f>HLOOKUP($B5, [1]Aero_SCR_Filtered!$G$5:$L$39, 24, FALSE)</f>
        <v>40.582268041237114</v>
      </c>
      <c r="V5" s="272">
        <f>HLOOKUP($B5, [1]Aero_SCR_Filtered!$G$5:$L$39, 25, FALSE)</f>
        <v>2.5303092783505154</v>
      </c>
      <c r="W5" s="272">
        <f>HLOOKUP($B5, [1]Aero_SCR_Filtered!$G$5:$L$39, 26, FALSE)</f>
        <v>270937.73195876286</v>
      </c>
      <c r="X5" s="272">
        <f>1-HLOOKUP($B5, [1]Aero_SCR_Filtered!$G$5:$L$39, 30, FALSE)</f>
        <v>0.89969999999999994</v>
      </c>
    </row>
    <row r="6" spans="1:24" x14ac:dyDescent="0.2">
      <c r="A6" s="10" t="s">
        <v>32</v>
      </c>
      <c r="B6" s="46" t="s">
        <v>4</v>
      </c>
      <c r="C6" s="51">
        <f>HLOOKUP($B6, [1]Aero_SCR_Filtered!$G$5:$L$39, 8, FALSE)</f>
        <v>9700</v>
      </c>
      <c r="D6" s="51">
        <f>HLOOKUP($B6, [1]Aero_SCR_Filtered!$G$5:$L$39, 9, FALSE)</f>
        <v>9430</v>
      </c>
      <c r="E6" s="272">
        <f>HLOOKUP($B6, [1]Aero_SCR_Filtered!$G$5:$L$39, 32, FALSE)</f>
        <v>9.9500000000000011</v>
      </c>
      <c r="F6" s="272">
        <f>HLOOKUP($B6, [1]Aero_SCR_Filtered!$G$5:$L$39, 33, FALSE)</f>
        <v>10</v>
      </c>
      <c r="G6" s="272">
        <f>HLOOKUP($B6, [1]Aero_SCR_Filtered!$G$5:$L$39, 4, FALSE)</f>
        <v>166.3</v>
      </c>
      <c r="H6" s="272">
        <f>HLOOKUP($B6, [1]Aero_SCR_Filtered!$G$5:$L$39, 5, FALSE)</f>
        <v>188.2</v>
      </c>
      <c r="I6" s="272">
        <f>HLOOKUP($B6, [1]Aero_SCR_Filtered!$G$5:$L$39, 34, FALSE)</f>
        <v>570</v>
      </c>
      <c r="J6" s="272">
        <f>HLOOKUP($B6, [1]Aero_SCR_Filtered!$G$5:$L$39, 29, FALSE)</f>
        <v>100</v>
      </c>
      <c r="K6" s="272">
        <f>IF(HLOOKUP($B6, [1]Aero_SCR_Filtered!$G$5:$L$39, 35, FALSE)="N/A", 0, HLOOKUP($B6, [1]Aero_SCR_Filtered!$G$5:$L$39, 35, FALSE))</f>
        <v>0</v>
      </c>
      <c r="L6" s="272">
        <f>HLOOKUP($B6, [1]Aero_SCR_Filtered!$G$5:$L$39, 12, FALSE)</f>
        <v>13.3</v>
      </c>
      <c r="M6" s="272">
        <f>HLOOKUP($B6, [1]Aero_SCR_Filtered!$G$5:$L$39, 13, FALSE)</f>
        <v>3.5</v>
      </c>
      <c r="N6" s="272">
        <f>HLOOKUP($B6, [1]Aero_SCR_Filtered!$G$5:$L$39, 14, FALSE)</f>
        <v>208800</v>
      </c>
      <c r="O6" s="272">
        <f>HLOOKUP($B6, [1]Aero_SCR_Filtered!$G$5:$L$39, 16, FALSE)</f>
        <v>12.92979381443299</v>
      </c>
      <c r="P6" s="272">
        <f>HLOOKUP($B6, [1]Aero_SCR_Filtered!$G$5:$L$39, 17, FALSE)</f>
        <v>3.4025773195876288</v>
      </c>
      <c r="Q6" s="272">
        <f>HLOOKUP($B6, [1]Aero_SCR_Filtered!$G$5:$L$39, 18, FALSE)</f>
        <v>202988.04123711342</v>
      </c>
      <c r="R6" s="272">
        <f>HLOOKUP($B6, [1]Aero_SCR_Filtered!$G$5:$L$39, 20, FALSE)</f>
        <v>41.7</v>
      </c>
      <c r="S6" s="272">
        <f>HLOOKUP($B6, [1]Aero_SCR_Filtered!$G$5:$L$39, 21, FALSE)</f>
        <v>2.6</v>
      </c>
      <c r="T6" s="272">
        <f>HLOOKUP($B6, [1]Aero_SCR_Filtered!$G$5:$L$39, 22, FALSE)</f>
        <v>278400</v>
      </c>
      <c r="U6" s="272">
        <f>HLOOKUP($B6, [1]Aero_SCR_Filtered!$G$5:$L$39, 24, FALSE)</f>
        <v>40.539278350515467</v>
      </c>
      <c r="V6" s="272">
        <f>HLOOKUP($B6, [1]Aero_SCR_Filtered!$G$5:$L$39, 25, FALSE)</f>
        <v>2.5276288659793815</v>
      </c>
      <c r="W6" s="272">
        <f>HLOOKUP($B6, [1]Aero_SCR_Filtered!$G$5:$L$39, 26, FALSE)</f>
        <v>270650.72164948453</v>
      </c>
      <c r="X6" s="272">
        <f>1-HLOOKUP($B6, [1]Aero_SCR_Filtered!$G$5:$L$39, 30, FALSE)</f>
        <v>0.89969999999999994</v>
      </c>
    </row>
    <row r="7" spans="1:24" x14ac:dyDescent="0.2">
      <c r="A7" s="10" t="s">
        <v>31</v>
      </c>
      <c r="B7" s="46" t="s">
        <v>5</v>
      </c>
      <c r="C7" s="51">
        <f>HLOOKUP($B7, [1]Aero_SCR_Filtered!$G$5:$L$39, 8, FALSE)</f>
        <v>9690</v>
      </c>
      <c r="D7" s="51">
        <f>HLOOKUP($B7, [1]Aero_SCR_Filtered!$G$5:$L$39, 9, FALSE)</f>
        <v>9430</v>
      </c>
      <c r="E7" s="272">
        <f>HLOOKUP($B7, [1]Aero_SCR_Filtered!$G$5:$L$39, 32, FALSE)</f>
        <v>10.07</v>
      </c>
      <c r="F7" s="272">
        <f>HLOOKUP($B7, [1]Aero_SCR_Filtered!$G$5:$L$39, 33, FALSE)</f>
        <v>10.199999999999999</v>
      </c>
      <c r="G7" s="272">
        <f>HLOOKUP($B7, [1]Aero_SCR_Filtered!$G$5:$L$39, 4, FALSE)</f>
        <v>166.3</v>
      </c>
      <c r="H7" s="272">
        <f>HLOOKUP($B7, [1]Aero_SCR_Filtered!$G$5:$L$39, 5, FALSE)</f>
        <v>188.2</v>
      </c>
      <c r="I7" s="272">
        <f>HLOOKUP($B7, [1]Aero_SCR_Filtered!$G$5:$L$39, 34, FALSE)</f>
        <v>570</v>
      </c>
      <c r="J7" s="272">
        <f>HLOOKUP($B7, [1]Aero_SCR_Filtered!$G$5:$L$39, 29, FALSE)</f>
        <v>100</v>
      </c>
      <c r="K7" s="272">
        <f>IF(HLOOKUP($B7, [1]Aero_SCR_Filtered!$G$5:$L$39, 35, FALSE)="N/A", 0, HLOOKUP($B7, [1]Aero_SCR_Filtered!$G$5:$L$39, 35, FALSE))</f>
        <v>0</v>
      </c>
      <c r="L7" s="272">
        <f>HLOOKUP($B7, [1]Aero_SCR_Filtered!$G$5:$L$39, 12, FALSE)</f>
        <v>13.3</v>
      </c>
      <c r="M7" s="272">
        <f>HLOOKUP($B7, [1]Aero_SCR_Filtered!$G$5:$L$39, 13, FALSE)</f>
        <v>3.5</v>
      </c>
      <c r="N7" s="272">
        <f>HLOOKUP($B7, [1]Aero_SCR_Filtered!$G$5:$L$39, 14, FALSE)</f>
        <v>208800</v>
      </c>
      <c r="O7" s="272">
        <f>HLOOKUP($B7, [1]Aero_SCR_Filtered!$G$5:$L$39, 16, FALSE)</f>
        <v>12.943137254901961</v>
      </c>
      <c r="P7" s="272">
        <f>HLOOKUP($B7, [1]Aero_SCR_Filtered!$G$5:$L$39, 17, FALSE)</f>
        <v>3.4060887512899898</v>
      </c>
      <c r="Q7" s="272">
        <f>HLOOKUP($B7, [1]Aero_SCR_Filtered!$G$5:$L$39, 18, FALSE)</f>
        <v>203197.52321981423</v>
      </c>
      <c r="R7" s="272">
        <f>HLOOKUP($B7, [1]Aero_SCR_Filtered!$G$5:$L$39, 20, FALSE)</f>
        <v>41.7</v>
      </c>
      <c r="S7" s="272">
        <f>HLOOKUP($B7, [1]Aero_SCR_Filtered!$G$5:$L$39, 21, FALSE)</f>
        <v>2.6</v>
      </c>
      <c r="T7" s="272">
        <f>HLOOKUP($B7, [1]Aero_SCR_Filtered!$G$5:$L$39, 22, FALSE)</f>
        <v>278400</v>
      </c>
      <c r="U7" s="272">
        <f>HLOOKUP($B7, [1]Aero_SCR_Filtered!$G$5:$L$39, 24, FALSE)</f>
        <v>40.581114551083594</v>
      </c>
      <c r="V7" s="272">
        <f>HLOOKUP($B7, [1]Aero_SCR_Filtered!$G$5:$L$39, 25, FALSE)</f>
        <v>2.530237358101135</v>
      </c>
      <c r="W7" s="272">
        <f>HLOOKUP($B7, [1]Aero_SCR_Filtered!$G$5:$L$39, 26, FALSE)</f>
        <v>270930.03095975233</v>
      </c>
      <c r="X7" s="272">
        <f>1-HLOOKUP($B7, [1]Aero_SCR_Filtered!$G$5:$L$39, 30, FALSE)</f>
        <v>0.89969999999999994</v>
      </c>
    </row>
    <row r="9" spans="1:24" x14ac:dyDescent="0.2">
      <c r="E9" s="274"/>
    </row>
    <row r="10" spans="1:24" x14ac:dyDescent="0.2">
      <c r="E10" s="274"/>
    </row>
    <row r="11" spans="1:24" x14ac:dyDescent="0.2">
      <c r="E11" s="274"/>
    </row>
    <row r="12" spans="1:24" x14ac:dyDescent="0.2">
      <c r="E12" s="274"/>
    </row>
    <row r="13" spans="1:24" x14ac:dyDescent="0.2">
      <c r="E13" s="274"/>
    </row>
    <row r="14" spans="1:24" x14ac:dyDescent="0.2">
      <c r="E14" s="274"/>
    </row>
  </sheetData>
  <pageMargins left="0.7" right="0.7" top="0.75" bottom="0.75" header="0.3" footer="0.3"/>
  <pageSetup scale="59" fitToWidth="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
  <sheetViews>
    <sheetView workbookViewId="0"/>
  </sheetViews>
  <sheetFormatPr defaultRowHeight="12.75" x14ac:dyDescent="0.2"/>
  <cols>
    <col min="1" max="1" width="7" customWidth="1"/>
    <col min="2" max="2" width="18.83203125" bestFit="1" customWidth="1"/>
    <col min="3" max="3" width="16.83203125" bestFit="1" customWidth="1"/>
    <col min="4" max="4" width="16.5" bestFit="1" customWidth="1"/>
    <col min="5" max="5" width="16.33203125" bestFit="1" customWidth="1"/>
    <col min="6" max="6" width="16.83203125" bestFit="1" customWidth="1"/>
    <col min="7" max="7" width="18.33203125" bestFit="1" customWidth="1"/>
    <col min="8" max="8" width="18" bestFit="1" customWidth="1"/>
    <col min="9" max="9" width="18.83203125" bestFit="1" customWidth="1"/>
    <col min="10" max="10" width="24.1640625" bestFit="1" customWidth="1"/>
    <col min="11" max="11" width="23.1640625" bestFit="1" customWidth="1"/>
    <col min="12" max="12" width="22.83203125" bestFit="1" customWidth="1"/>
    <col min="13" max="13" width="22" bestFit="1" customWidth="1"/>
    <col min="14" max="14" width="22.1640625" bestFit="1" customWidth="1"/>
    <col min="15" max="15" width="22.5" bestFit="1" customWidth="1"/>
    <col min="16" max="16" width="21.6640625" bestFit="1" customWidth="1"/>
    <col min="17" max="17" width="21.83203125" bestFit="1" customWidth="1"/>
    <col min="18" max="18" width="23.33203125" bestFit="1" customWidth="1"/>
    <col min="19" max="19" width="22.5" bestFit="1" customWidth="1"/>
    <col min="20" max="20" width="22.6640625" bestFit="1" customWidth="1"/>
    <col min="21" max="21" width="23" bestFit="1" customWidth="1"/>
    <col min="22" max="22" width="22.1640625" bestFit="1" customWidth="1"/>
    <col min="23" max="23" width="22.33203125" bestFit="1" customWidth="1"/>
    <col min="24" max="24" width="14.5" bestFit="1" customWidth="1"/>
  </cols>
  <sheetData>
    <row r="1" spans="1:24" x14ac:dyDescent="0.2">
      <c r="A1" s="47" t="s">
        <v>37</v>
      </c>
      <c r="B1" s="47" t="s">
        <v>55</v>
      </c>
      <c r="C1" s="49" t="s">
        <v>285</v>
      </c>
      <c r="D1" s="49" t="s">
        <v>286</v>
      </c>
      <c r="E1" s="49" t="s">
        <v>287</v>
      </c>
      <c r="F1" s="49" t="s">
        <v>288</v>
      </c>
      <c r="G1" s="49" t="s">
        <v>421</v>
      </c>
      <c r="H1" s="49" t="s">
        <v>422</v>
      </c>
      <c r="I1" s="49" t="s">
        <v>444</v>
      </c>
      <c r="J1" s="49" t="s">
        <v>289</v>
      </c>
      <c r="K1" s="48" t="s">
        <v>433</v>
      </c>
      <c r="L1" s="49" t="s">
        <v>290</v>
      </c>
      <c r="M1" s="49" t="s">
        <v>291</v>
      </c>
      <c r="N1" s="49" t="s">
        <v>292</v>
      </c>
      <c r="O1" s="49" t="s">
        <v>293</v>
      </c>
      <c r="P1" s="49" t="s">
        <v>294</v>
      </c>
      <c r="Q1" s="49" t="s">
        <v>295</v>
      </c>
      <c r="R1" s="49" t="s">
        <v>296</v>
      </c>
      <c r="S1" s="49" t="s">
        <v>297</v>
      </c>
      <c r="T1" s="49" t="s">
        <v>298</v>
      </c>
      <c r="U1" s="49" t="s">
        <v>299</v>
      </c>
      <c r="V1" s="49" t="s">
        <v>300</v>
      </c>
      <c r="W1" s="49" t="s">
        <v>301</v>
      </c>
      <c r="X1" s="49" t="s">
        <v>302</v>
      </c>
    </row>
    <row r="2" spans="1:24" x14ac:dyDescent="0.2">
      <c r="A2" s="10" t="s">
        <v>34</v>
      </c>
      <c r="B2" s="46" t="s">
        <v>3</v>
      </c>
      <c r="C2" s="51">
        <f>HLOOKUP($B2, [1]Aero_NoSCR_Filtered!$G$5:$M$39, 8, FALSE)</f>
        <v>9690</v>
      </c>
      <c r="D2" s="51">
        <f>HLOOKUP($B2, [1]Aero_NoSCR_Filtered!$G$5:$M$39, 9, FALSE)</f>
        <v>9440</v>
      </c>
      <c r="E2" s="272">
        <f>HLOOKUP($B2, [1]Aero_NoSCR_Filtered!$G$5:$M$39, 32, FALSE)</f>
        <v>8.89</v>
      </c>
      <c r="F2" s="272">
        <f>HLOOKUP($B2, [1]Aero_NoSCR_Filtered!$G$5:$M$39, 33, FALSE)</f>
        <v>8.76</v>
      </c>
      <c r="G2" s="272">
        <f>HLOOKUP($B2, [1]Aero_NoSCR_Filtered!$G$5:$M$39, 4, FALSE)</f>
        <v>166.1</v>
      </c>
      <c r="H2" s="272">
        <f>HLOOKUP($B2, [1]Aero_NoSCR_Filtered!$G$5:$M$39, 5, FALSE)</f>
        <v>188.2</v>
      </c>
      <c r="I2" s="272">
        <f>HLOOKUP($B2, [1]Aero_NoSCR_Filtered!$G$5:$M$39, 34, FALSE)</f>
        <v>570</v>
      </c>
      <c r="J2" s="272">
        <f>HLOOKUP($B2, [1]Aero_NoSCR_Filtered!$G$5:$M$39, 29, FALSE)</f>
        <v>100</v>
      </c>
      <c r="K2" s="272">
        <f>IF(HLOOKUP($B2, [1]Aero_NoSCR_Filtered!$G$5:$M$39, 35, FALSE)="N/A", 0, HLOOKUP($B2, [1]Aero_NoSCR_Filtered!$G$5:$M$39, 35, FALSE))</f>
        <v>0</v>
      </c>
      <c r="L2" s="272">
        <f>HLOOKUP($B2, [1]Aero_NoSCR_Filtered!$G$5:$M$39, 12, FALSE)</f>
        <v>166.8</v>
      </c>
      <c r="M2" s="272">
        <f>HLOOKUP($B2, [1]Aero_NoSCR_Filtered!$G$5:$M$39, 13, FALSE)</f>
        <v>3.5</v>
      </c>
      <c r="N2" s="272">
        <f>HLOOKUP($B2, [1]Aero_NoSCR_Filtered!$G$5:$M$39, 14, FALSE)</f>
        <v>208800</v>
      </c>
      <c r="O2" s="272">
        <f>HLOOKUP($B2, [1]Aero_NoSCR_Filtered!$G$5:$M$39, 16, FALSE)</f>
        <v>162.49659442724459</v>
      </c>
      <c r="P2" s="272">
        <f>HLOOKUP($B2, [1]Aero_NoSCR_Filtered!$G$5:$M$39, 17, FALSE)</f>
        <v>3.4097007223942208</v>
      </c>
      <c r="Q2" s="272">
        <f>HLOOKUP($B2, [1]Aero_NoSCR_Filtered!$G$5:$M$39, 18, FALSE)</f>
        <v>203413.00309597523</v>
      </c>
      <c r="R2" s="272">
        <f>HLOOKUP($B2, [1]Aero_NoSCR_Filtered!$G$5:$M$39, 20, FALSE)</f>
        <v>278</v>
      </c>
      <c r="S2" s="272">
        <f>HLOOKUP($B2, [1]Aero_NoSCR_Filtered!$G$5:$M$39, 21, FALSE)</f>
        <v>2.6</v>
      </c>
      <c r="T2" s="272">
        <f>HLOOKUP($B2, [1]Aero_NoSCR_Filtered!$G$5:$M$39, 22, FALSE)</f>
        <v>278400</v>
      </c>
      <c r="U2" s="272">
        <f>HLOOKUP($B2, [1]Aero_NoSCR_Filtered!$G$5:$M$39, 24, FALSE)</f>
        <v>270.82765737874098</v>
      </c>
      <c r="V2" s="272">
        <f>HLOOKUP($B2, [1]Aero_NoSCR_Filtered!$G$5:$M$39, 25, FALSE)</f>
        <v>2.5329205366357068</v>
      </c>
      <c r="W2" s="272">
        <f>HLOOKUP($B2, [1]Aero_NoSCR_Filtered!$G$5:$M$39, 26, FALSE)</f>
        <v>271217.33746130031</v>
      </c>
      <c r="X2" s="272">
        <f>1-HLOOKUP($B2, [1]Aero_NoSCR_Filtered!$G$5:$M$39, 30, FALSE)</f>
        <v>0.89969999999999994</v>
      </c>
    </row>
    <row r="3" spans="1:24" x14ac:dyDescent="0.2">
      <c r="A3" s="10" t="s">
        <v>33</v>
      </c>
      <c r="B3" s="46" t="s">
        <v>30</v>
      </c>
      <c r="C3" s="51">
        <f>HLOOKUP($B3, [1]Aero_NoSCR_Filtered!$G$5:$M$39, 8, FALSE)</f>
        <v>9690</v>
      </c>
      <c r="D3" s="51">
        <f>HLOOKUP($B3, [1]Aero_NoSCR_Filtered!$G$5:$M$39, 9, FALSE)</f>
        <v>9450</v>
      </c>
      <c r="E3" s="272">
        <f>HLOOKUP($B3, [1]Aero_NoSCR_Filtered!$G$5:$M$39, 32, FALSE)</f>
        <v>9.34</v>
      </c>
      <c r="F3" s="272">
        <f>HLOOKUP($B3, [1]Aero_NoSCR_Filtered!$G$5:$M$39, 33, FALSE)</f>
        <v>9.1800000000000015</v>
      </c>
      <c r="G3" s="272">
        <f>HLOOKUP($B3, [1]Aero_NoSCR_Filtered!$G$5:$M$39, 4, FALSE)</f>
        <v>166.4</v>
      </c>
      <c r="H3" s="272">
        <f>HLOOKUP($B3, [1]Aero_NoSCR_Filtered!$G$5:$M$39, 5, FALSE)</f>
        <v>188.2</v>
      </c>
      <c r="I3" s="272">
        <f>HLOOKUP($B3, [1]Aero_NoSCR_Filtered!$G$5:$M$39, 34, FALSE)</f>
        <v>570</v>
      </c>
      <c r="J3" s="272">
        <f>HLOOKUP($B3, [1]Aero_NoSCR_Filtered!$G$5:$M$39, 29, FALSE)</f>
        <v>100</v>
      </c>
      <c r="K3" s="272">
        <f>IF(HLOOKUP($B3, [1]Aero_NoSCR_Filtered!$G$5:$M$39, 35, FALSE)="N/A", 0, HLOOKUP($B3, [1]Aero_NoSCR_Filtered!$G$5:$M$39, 35, FALSE))</f>
        <v>0</v>
      </c>
      <c r="L3" s="272">
        <f>HLOOKUP($B3, [1]Aero_NoSCR_Filtered!$G$5:$M$39, 12, FALSE)</f>
        <v>166.8</v>
      </c>
      <c r="M3" s="272">
        <f>HLOOKUP($B3, [1]Aero_NoSCR_Filtered!$G$5:$M$39, 13, FALSE)</f>
        <v>3.5</v>
      </c>
      <c r="N3" s="272">
        <f>HLOOKUP($B3, [1]Aero_NoSCR_Filtered!$G$5:$M$39, 14, FALSE)</f>
        <v>208800</v>
      </c>
      <c r="O3" s="272">
        <f>HLOOKUP($B3, [1]Aero_NoSCR_Filtered!$G$5:$M$39, 16, FALSE)</f>
        <v>162.6687306501548</v>
      </c>
      <c r="P3" s="272">
        <f>HLOOKUP($B3, [1]Aero_NoSCR_Filtered!$G$5:$M$39, 17, FALSE)</f>
        <v>3.4133126934984519</v>
      </c>
      <c r="Q3" s="272">
        <f>HLOOKUP($B3, [1]Aero_NoSCR_Filtered!$G$5:$M$39, 18, FALSE)</f>
        <v>203628.48297213623</v>
      </c>
      <c r="R3" s="272">
        <f>HLOOKUP($B3, [1]Aero_NoSCR_Filtered!$G$5:$M$39, 20, FALSE)</f>
        <v>278</v>
      </c>
      <c r="S3" s="272">
        <f>HLOOKUP($B3, [1]Aero_NoSCR_Filtered!$G$5:$M$39, 21, FALSE)</f>
        <v>2.6</v>
      </c>
      <c r="T3" s="272">
        <f>HLOOKUP($B3, [1]Aero_NoSCR_Filtered!$G$5:$M$39, 22, FALSE)</f>
        <v>278400</v>
      </c>
      <c r="U3" s="272">
        <f>HLOOKUP($B3, [1]Aero_NoSCR_Filtered!$G$5:$M$39, 24, FALSE)</f>
        <v>271.11455108359132</v>
      </c>
      <c r="V3" s="272">
        <f>HLOOKUP($B3, [1]Aero_NoSCR_Filtered!$G$5:$M$39, 25, FALSE)</f>
        <v>2.5356037151702786</v>
      </c>
      <c r="W3" s="272">
        <f>HLOOKUP($B3, [1]Aero_NoSCR_Filtered!$G$5:$M$39, 26, FALSE)</f>
        <v>271504.64396284829</v>
      </c>
      <c r="X3" s="272">
        <f>1-HLOOKUP($B3, [1]Aero_NoSCR_Filtered!$G$5:$M$39, 30, FALSE)</f>
        <v>0.89969999999999994</v>
      </c>
    </row>
    <row r="4" spans="1:24" x14ac:dyDescent="0.2">
      <c r="A4" s="10" t="s">
        <v>56</v>
      </c>
      <c r="B4" s="46" t="s">
        <v>22</v>
      </c>
      <c r="C4" s="51">
        <f>HLOOKUP($B4, [1]Aero_NoSCR_Filtered!$G$5:$M$39, 8, FALSE)</f>
        <v>9700</v>
      </c>
      <c r="D4" s="51">
        <f>HLOOKUP($B4, [1]Aero_NoSCR_Filtered!$G$5:$M$39, 9, FALSE)</f>
        <v>9430</v>
      </c>
      <c r="E4" s="272">
        <f>HLOOKUP($B4, [1]Aero_NoSCR_Filtered!$G$5:$M$39, 32, FALSE)</f>
        <v>9.02</v>
      </c>
      <c r="F4" s="272">
        <f>HLOOKUP($B4, [1]Aero_NoSCR_Filtered!$G$5:$M$39, 33, FALSE)</f>
        <v>8.9</v>
      </c>
      <c r="G4" s="272">
        <f>HLOOKUP($B4, [1]Aero_NoSCR_Filtered!$G$5:$M$39, 4, FALSE)</f>
        <v>165.9</v>
      </c>
      <c r="H4" s="272">
        <f>HLOOKUP($B4, [1]Aero_NoSCR_Filtered!$G$5:$M$39, 5, FALSE)</f>
        <v>188.2</v>
      </c>
      <c r="I4" s="272">
        <f>HLOOKUP($B4, [1]Aero_NoSCR_Filtered!$G$5:$M$39, 34, FALSE)</f>
        <v>570</v>
      </c>
      <c r="J4" s="272">
        <f>HLOOKUP($B4, [1]Aero_NoSCR_Filtered!$G$5:$M$39, 29, FALSE)</f>
        <v>100</v>
      </c>
      <c r="K4" s="272">
        <f>IF(HLOOKUP($B4, [1]Aero_NoSCR_Filtered!$G$5:$M$39, 35, FALSE)="N/A", 0, HLOOKUP($B4, [1]Aero_NoSCR_Filtered!$G$5:$M$39, 35, FALSE))</f>
        <v>0</v>
      </c>
      <c r="L4" s="272">
        <f>HLOOKUP($B4, [1]Aero_NoSCR_Filtered!$G$5:$M$39, 12, FALSE)</f>
        <v>166.8</v>
      </c>
      <c r="M4" s="272">
        <f>HLOOKUP($B4, [1]Aero_NoSCR_Filtered!$G$5:$M$39, 13, FALSE)</f>
        <v>3.5</v>
      </c>
      <c r="N4" s="272">
        <f>HLOOKUP($B4, [1]Aero_NoSCR_Filtered!$G$5:$M$39, 14, FALSE)</f>
        <v>208800</v>
      </c>
      <c r="O4" s="272">
        <f>HLOOKUP($B4, [1]Aero_NoSCR_Filtered!$G$5:$M$39, 16, FALSE)</f>
        <v>162.15711340206187</v>
      </c>
      <c r="P4" s="272">
        <f>HLOOKUP($B4, [1]Aero_NoSCR_Filtered!$G$5:$M$39, 17, FALSE)</f>
        <v>3.4025773195876288</v>
      </c>
      <c r="Q4" s="272">
        <f>HLOOKUP($B4, [1]Aero_NoSCR_Filtered!$G$5:$M$39, 18, FALSE)</f>
        <v>202988.04123711342</v>
      </c>
      <c r="R4" s="272">
        <f>HLOOKUP($B4, [1]Aero_NoSCR_Filtered!$G$5:$M$39, 20, FALSE)</f>
        <v>278</v>
      </c>
      <c r="S4" s="272">
        <f>HLOOKUP($B4, [1]Aero_NoSCR_Filtered!$G$5:$M$39, 21, FALSE)</f>
        <v>2.6</v>
      </c>
      <c r="T4" s="272">
        <f>HLOOKUP($B4, [1]Aero_NoSCR_Filtered!$G$5:$M$39, 22, FALSE)</f>
        <v>278400</v>
      </c>
      <c r="U4" s="272">
        <f>HLOOKUP($B4, [1]Aero_NoSCR_Filtered!$G$5:$M$39, 24, FALSE)</f>
        <v>270.2618556701031</v>
      </c>
      <c r="V4" s="272">
        <f>HLOOKUP($B4, [1]Aero_NoSCR_Filtered!$G$5:$M$39, 25, FALSE)</f>
        <v>2.5276288659793815</v>
      </c>
      <c r="W4" s="272">
        <f>HLOOKUP($B4, [1]Aero_NoSCR_Filtered!$G$5:$M$39, 26, FALSE)</f>
        <v>270650.72164948453</v>
      </c>
      <c r="X4" s="272">
        <f>1-HLOOKUP($B4, [1]Aero_NoSCR_Filtered!$G$5:$M$39, 30, FALSE)</f>
        <v>0.89969999999999994</v>
      </c>
    </row>
    <row r="5" spans="1:24" x14ac:dyDescent="0.2">
      <c r="A5" s="10" t="s">
        <v>38</v>
      </c>
      <c r="B5" s="46" t="s">
        <v>23</v>
      </c>
      <c r="C5" s="51">
        <f>HLOOKUP($B5, [1]Aero_NoSCR_Filtered!$G$5:$M$39, 8, FALSE)</f>
        <v>9700</v>
      </c>
      <c r="D5" s="51">
        <f>HLOOKUP($B5, [1]Aero_NoSCR_Filtered!$G$5:$M$39, 9, FALSE)</f>
        <v>9440</v>
      </c>
      <c r="E5" s="272">
        <f>HLOOKUP($B5, [1]Aero_NoSCR_Filtered!$G$5:$M$39, 32, FALSE)</f>
        <v>9.02</v>
      </c>
      <c r="F5" s="272">
        <f>HLOOKUP($B5, [1]Aero_NoSCR_Filtered!$G$5:$M$39, 33, FALSE)</f>
        <v>8.9</v>
      </c>
      <c r="G5" s="272">
        <f>HLOOKUP($B5, [1]Aero_NoSCR_Filtered!$G$5:$M$39, 4, FALSE)</f>
        <v>165.9</v>
      </c>
      <c r="H5" s="272">
        <f>HLOOKUP($B5, [1]Aero_NoSCR_Filtered!$G$5:$M$39, 5, FALSE)</f>
        <v>188.2</v>
      </c>
      <c r="I5" s="272">
        <f>HLOOKUP($B5, [1]Aero_NoSCR_Filtered!$G$5:$M$39, 34, FALSE)</f>
        <v>570</v>
      </c>
      <c r="J5" s="272">
        <f>HLOOKUP($B5, [1]Aero_NoSCR_Filtered!$G$5:$M$39, 29, FALSE)</f>
        <v>100</v>
      </c>
      <c r="K5" s="272">
        <f>IF(HLOOKUP($B5, [1]Aero_NoSCR_Filtered!$G$5:$M$39, 35, FALSE)="N/A", 0, HLOOKUP($B5, [1]Aero_NoSCR_Filtered!$G$5:$M$39, 35, FALSE))</f>
        <v>0</v>
      </c>
      <c r="L5" s="272">
        <f>HLOOKUP($B5, [1]Aero_NoSCR_Filtered!$G$5:$M$39, 12, FALSE)</f>
        <v>166.8</v>
      </c>
      <c r="M5" s="272">
        <f>HLOOKUP($B5, [1]Aero_NoSCR_Filtered!$G$5:$M$39, 13, FALSE)</f>
        <v>3.5</v>
      </c>
      <c r="N5" s="272">
        <f>HLOOKUP($B5, [1]Aero_NoSCR_Filtered!$G$5:$M$39, 14, FALSE)</f>
        <v>208800</v>
      </c>
      <c r="O5" s="272">
        <f>HLOOKUP($B5, [1]Aero_NoSCR_Filtered!$G$5:$M$39, 16, FALSE)</f>
        <v>162.32907216494846</v>
      </c>
      <c r="P5" s="272">
        <f>HLOOKUP($B5, [1]Aero_NoSCR_Filtered!$G$5:$M$39, 17, FALSE)</f>
        <v>3.4061855670103092</v>
      </c>
      <c r="Q5" s="272">
        <f>HLOOKUP($B5, [1]Aero_NoSCR_Filtered!$G$5:$M$39, 18, FALSE)</f>
        <v>203203.29896907217</v>
      </c>
      <c r="R5" s="272">
        <f>HLOOKUP($B5, [1]Aero_NoSCR_Filtered!$G$5:$M$39, 20, FALSE)</f>
        <v>278</v>
      </c>
      <c r="S5" s="272">
        <f>HLOOKUP($B5, [1]Aero_NoSCR_Filtered!$G$5:$M$39, 21, FALSE)</f>
        <v>2.6</v>
      </c>
      <c r="T5" s="272">
        <f>HLOOKUP($B5, [1]Aero_NoSCR_Filtered!$G$5:$M$39, 22, FALSE)</f>
        <v>278400</v>
      </c>
      <c r="U5" s="272">
        <f>HLOOKUP($B5, [1]Aero_NoSCR_Filtered!$G$5:$M$39, 24, FALSE)</f>
        <v>270.54845360824743</v>
      </c>
      <c r="V5" s="272">
        <f>HLOOKUP($B5, [1]Aero_NoSCR_Filtered!$G$5:$M$39, 25, FALSE)</f>
        <v>2.5303092783505154</v>
      </c>
      <c r="W5" s="272">
        <f>HLOOKUP($B5, [1]Aero_NoSCR_Filtered!$G$5:$M$39, 26, FALSE)</f>
        <v>270937.73195876286</v>
      </c>
      <c r="X5" s="272">
        <f>1-HLOOKUP($B5, [1]Aero_NoSCR_Filtered!$G$5:$M$39, 30, FALSE)</f>
        <v>0.89969999999999994</v>
      </c>
    </row>
    <row r="6" spans="1:24" x14ac:dyDescent="0.2">
      <c r="A6" s="10" t="s">
        <v>32</v>
      </c>
      <c r="B6" s="46" t="s">
        <v>4</v>
      </c>
      <c r="C6" s="51">
        <f>HLOOKUP($B6, [1]Aero_NoSCR_Filtered!$G$5:$M$39, 8, FALSE)</f>
        <v>9700</v>
      </c>
      <c r="D6" s="51">
        <f>HLOOKUP($B6, [1]Aero_NoSCR_Filtered!$G$5:$M$39, 9, FALSE)</f>
        <v>9430</v>
      </c>
      <c r="E6" s="272">
        <f>HLOOKUP($B6, [1]Aero_NoSCR_Filtered!$G$5:$M$39, 32, FALSE)</f>
        <v>9.120000000000001</v>
      </c>
      <c r="F6" s="272">
        <f>HLOOKUP($B6, [1]Aero_NoSCR_Filtered!$G$5:$M$39, 33, FALSE)</f>
        <v>9</v>
      </c>
      <c r="G6" s="272">
        <f>HLOOKUP($B6, [1]Aero_NoSCR_Filtered!$G$5:$M$39, 4, FALSE)</f>
        <v>166.3</v>
      </c>
      <c r="H6" s="272">
        <f>HLOOKUP($B6, [1]Aero_NoSCR_Filtered!$G$5:$M$39, 5, FALSE)</f>
        <v>188.2</v>
      </c>
      <c r="I6" s="272">
        <f>HLOOKUP($B6, [1]Aero_NoSCR_Filtered!$G$5:$M$39, 34, FALSE)</f>
        <v>570</v>
      </c>
      <c r="J6" s="272">
        <f>HLOOKUP($B6, [1]Aero_NoSCR_Filtered!$G$5:$M$39, 29, FALSE)</f>
        <v>100</v>
      </c>
      <c r="K6" s="272">
        <f>IF(HLOOKUP($B6, [1]Aero_NoSCR_Filtered!$G$5:$M$39, 35, FALSE)="N/A", 0, HLOOKUP($B6, [1]Aero_NoSCR_Filtered!$G$5:$M$39, 35, FALSE))</f>
        <v>0</v>
      </c>
      <c r="L6" s="272">
        <f>HLOOKUP($B6, [1]Aero_NoSCR_Filtered!$G$5:$M$39, 12, FALSE)</f>
        <v>166.8</v>
      </c>
      <c r="M6" s="272">
        <f>HLOOKUP($B6, [1]Aero_NoSCR_Filtered!$G$5:$M$39, 13, FALSE)</f>
        <v>3.5</v>
      </c>
      <c r="N6" s="272">
        <f>HLOOKUP($B6, [1]Aero_NoSCR_Filtered!$G$5:$M$39, 14, FALSE)</f>
        <v>208800</v>
      </c>
      <c r="O6" s="272">
        <f>HLOOKUP($B6, [1]Aero_NoSCR_Filtered!$G$5:$M$39, 16, FALSE)</f>
        <v>162.15711340206187</v>
      </c>
      <c r="P6" s="272">
        <f>HLOOKUP($B6, [1]Aero_NoSCR_Filtered!$G$5:$M$39, 17, FALSE)</f>
        <v>3.4025773195876288</v>
      </c>
      <c r="Q6" s="272">
        <f>HLOOKUP($B6, [1]Aero_NoSCR_Filtered!$G$5:$M$39, 18, FALSE)</f>
        <v>202988.04123711342</v>
      </c>
      <c r="R6" s="272">
        <f>HLOOKUP($B6, [1]Aero_NoSCR_Filtered!$G$5:$M$39, 20, FALSE)</f>
        <v>278</v>
      </c>
      <c r="S6" s="272">
        <f>HLOOKUP($B6, [1]Aero_NoSCR_Filtered!$G$5:$M$39, 21, FALSE)</f>
        <v>2.6</v>
      </c>
      <c r="T6" s="272">
        <f>HLOOKUP($B6, [1]Aero_NoSCR_Filtered!$G$5:$M$39, 22, FALSE)</f>
        <v>278400</v>
      </c>
      <c r="U6" s="272">
        <f>HLOOKUP($B6, [1]Aero_NoSCR_Filtered!$G$5:$M$39, 24, FALSE)</f>
        <v>270.2618556701031</v>
      </c>
      <c r="V6" s="272">
        <f>HLOOKUP($B6, [1]Aero_NoSCR_Filtered!$G$5:$M$39, 25, FALSE)</f>
        <v>2.5276288659793815</v>
      </c>
      <c r="W6" s="272">
        <f>HLOOKUP($B6, [1]Aero_NoSCR_Filtered!$G$5:$M$39, 26, FALSE)</f>
        <v>270650.72164948453</v>
      </c>
      <c r="X6" s="272">
        <f>1-HLOOKUP($B6, [1]Aero_NoSCR_Filtered!$G$5:$M$39, 30, FALSE)</f>
        <v>0.89969999999999994</v>
      </c>
    </row>
    <row r="7" spans="1:24" x14ac:dyDescent="0.2">
      <c r="A7" s="10" t="s">
        <v>31</v>
      </c>
      <c r="B7" s="46" t="s">
        <v>5</v>
      </c>
      <c r="C7" s="51">
        <f>HLOOKUP($B7, [1]Aero_NoSCR_Filtered!$G$5:$M$39, 8, FALSE)</f>
        <v>9690</v>
      </c>
      <c r="D7" s="51">
        <f>HLOOKUP($B7, [1]Aero_NoSCR_Filtered!$G$5:$M$39, 9, FALSE)</f>
        <v>9430</v>
      </c>
      <c r="E7" s="272">
        <f>HLOOKUP($B7, [1]Aero_NoSCR_Filtered!$G$5:$M$39, 32, FALSE)</f>
        <v>9.25</v>
      </c>
      <c r="F7" s="272">
        <f>HLOOKUP($B7, [1]Aero_NoSCR_Filtered!$G$5:$M$39, 33, FALSE)</f>
        <v>9.1999999999999993</v>
      </c>
      <c r="G7" s="272">
        <f>HLOOKUP($B7, [1]Aero_NoSCR_Filtered!$G$5:$M$39, 4, FALSE)</f>
        <v>166.3</v>
      </c>
      <c r="H7" s="272">
        <f>HLOOKUP($B7, [1]Aero_NoSCR_Filtered!$G$5:$M$39, 5, FALSE)</f>
        <v>188.2</v>
      </c>
      <c r="I7" s="272">
        <f>HLOOKUP($B7, [1]Aero_NoSCR_Filtered!$G$5:$M$39, 34, FALSE)</f>
        <v>570</v>
      </c>
      <c r="J7" s="272">
        <f>HLOOKUP($B7, [1]Aero_NoSCR_Filtered!$G$5:$M$39, 29, FALSE)</f>
        <v>100</v>
      </c>
      <c r="K7" s="272">
        <f>IF(HLOOKUP($B7, [1]Aero_NoSCR_Filtered!$G$5:$M$39, 35, FALSE)="N/A", 0, HLOOKUP($B7, [1]Aero_NoSCR_Filtered!$G$5:$M$39, 35, FALSE))</f>
        <v>0</v>
      </c>
      <c r="L7" s="272">
        <f>HLOOKUP($B7, [1]Aero_NoSCR_Filtered!$G$5:$M$39, 12, FALSE)</f>
        <v>166.8</v>
      </c>
      <c r="M7" s="272">
        <f>HLOOKUP($B7, [1]Aero_NoSCR_Filtered!$G$5:$M$39, 13, FALSE)</f>
        <v>3.5</v>
      </c>
      <c r="N7" s="272">
        <f>HLOOKUP($B7, [1]Aero_NoSCR_Filtered!$G$5:$M$39, 14, FALSE)</f>
        <v>208800</v>
      </c>
      <c r="O7" s="272">
        <f>HLOOKUP($B7, [1]Aero_NoSCR_Filtered!$G$5:$M$39, 16, FALSE)</f>
        <v>162.32445820433438</v>
      </c>
      <c r="P7" s="272">
        <f>HLOOKUP($B7, [1]Aero_NoSCR_Filtered!$G$5:$M$39, 17, FALSE)</f>
        <v>3.4060887512899898</v>
      </c>
      <c r="Q7" s="272">
        <f>HLOOKUP($B7, [1]Aero_NoSCR_Filtered!$G$5:$M$39, 18, FALSE)</f>
        <v>203197.52321981423</v>
      </c>
      <c r="R7" s="272">
        <f>HLOOKUP($B7, [1]Aero_NoSCR_Filtered!$G$5:$M$39, 20, FALSE)</f>
        <v>278</v>
      </c>
      <c r="S7" s="272">
        <f>HLOOKUP($B7, [1]Aero_NoSCR_Filtered!$G$5:$M$39, 21, FALSE)</f>
        <v>2.6</v>
      </c>
      <c r="T7" s="272">
        <f>HLOOKUP($B7, [1]Aero_NoSCR_Filtered!$G$5:$M$39, 22, FALSE)</f>
        <v>278400</v>
      </c>
      <c r="U7" s="272">
        <f>HLOOKUP($B7, [1]Aero_NoSCR_Filtered!$G$5:$M$39, 24, FALSE)</f>
        <v>270.54076367389058</v>
      </c>
      <c r="V7" s="272">
        <f>HLOOKUP($B7, [1]Aero_NoSCR_Filtered!$G$5:$M$39, 25, FALSE)</f>
        <v>2.530237358101135</v>
      </c>
      <c r="W7" s="272">
        <f>HLOOKUP($B7, [1]Aero_NoSCR_Filtered!$G$5:$M$39, 26, FALSE)</f>
        <v>270930.03095975233</v>
      </c>
      <c r="X7" s="272">
        <f>1-HLOOKUP($B7, [1]Aero_NoSCR_Filtered!$G$5:$M$39, 30, FALSE)</f>
        <v>0.89969999999999994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W7"/>
  <sheetViews>
    <sheetView workbookViewId="0"/>
  </sheetViews>
  <sheetFormatPr defaultRowHeight="12.75" x14ac:dyDescent="0.2"/>
  <cols>
    <col min="1" max="1" width="9.33203125" style="10"/>
    <col min="2" max="2" width="22.6640625" style="10" customWidth="1"/>
    <col min="3" max="3" width="15.5" style="10" bestFit="1" customWidth="1"/>
    <col min="4" max="4" width="15.1640625" style="10" bestFit="1" customWidth="1"/>
    <col min="5" max="5" width="15" style="10" bestFit="1" customWidth="1"/>
    <col min="6" max="6" width="15.5" style="10" bestFit="1" customWidth="1"/>
    <col min="7" max="7" width="17.6640625" style="10" bestFit="1" customWidth="1"/>
    <col min="8" max="8" width="17.1640625" style="10" bestFit="1" customWidth="1"/>
    <col min="9" max="9" width="22.83203125" style="10" bestFit="1" customWidth="1"/>
    <col min="10" max="10" width="22.6640625" style="10" bestFit="1" customWidth="1"/>
    <col min="11" max="11" width="21.33203125" style="10" bestFit="1" customWidth="1"/>
    <col min="12" max="12" width="20.5" style="10" bestFit="1" customWidth="1"/>
    <col min="13" max="13" width="20.6640625" style="10" bestFit="1" customWidth="1"/>
    <col min="14" max="14" width="21" style="10" bestFit="1" customWidth="1"/>
    <col min="15" max="15" width="20.1640625" style="10" bestFit="1" customWidth="1"/>
    <col min="16" max="16" width="20.33203125" style="10" bestFit="1" customWidth="1"/>
    <col min="17" max="17" width="20.83203125" style="10" bestFit="1" customWidth="1"/>
    <col min="18" max="18" width="22" style="10" bestFit="1" customWidth="1"/>
    <col min="19" max="19" width="21.1640625" style="10" bestFit="1" customWidth="1"/>
    <col min="20" max="20" width="21" style="10" bestFit="1" customWidth="1"/>
    <col min="21" max="21" width="20.6640625" style="10" bestFit="1" customWidth="1"/>
    <col min="22" max="22" width="21.6640625" style="10" bestFit="1" customWidth="1"/>
    <col min="23" max="23" width="21" style="10" bestFit="1" customWidth="1"/>
    <col min="24" max="16384" width="9.33203125" style="10"/>
  </cols>
  <sheetData>
    <row r="1" spans="1:23" x14ac:dyDescent="0.2">
      <c r="A1" s="47" t="s">
        <v>37</v>
      </c>
      <c r="B1" s="47" t="s">
        <v>55</v>
      </c>
      <c r="C1" s="49" t="s">
        <v>39</v>
      </c>
      <c r="D1" s="49" t="s">
        <v>40</v>
      </c>
      <c r="E1" s="49" t="s">
        <v>41</v>
      </c>
      <c r="F1" s="49" t="s">
        <v>42</v>
      </c>
      <c r="G1" s="49" t="s">
        <v>423</v>
      </c>
      <c r="H1" s="49" t="s">
        <v>424</v>
      </c>
      <c r="I1" s="49" t="s">
        <v>35</v>
      </c>
      <c r="J1" s="48" t="s">
        <v>434</v>
      </c>
      <c r="K1" s="49" t="s">
        <v>43</v>
      </c>
      <c r="L1" s="49" t="s">
        <v>44</v>
      </c>
      <c r="M1" s="49" t="s">
        <v>45</v>
      </c>
      <c r="N1" s="49" t="s">
        <v>46</v>
      </c>
      <c r="O1" s="49" t="s">
        <v>47</v>
      </c>
      <c r="P1" s="49" t="s">
        <v>48</v>
      </c>
      <c r="Q1" s="49" t="s">
        <v>49</v>
      </c>
      <c r="R1" s="49" t="s">
        <v>50</v>
      </c>
      <c r="S1" s="49" t="s">
        <v>51</v>
      </c>
      <c r="T1" s="49" t="s">
        <v>52</v>
      </c>
      <c r="U1" s="49" t="s">
        <v>53</v>
      </c>
      <c r="V1" s="49" t="s">
        <v>54</v>
      </c>
      <c r="W1" s="49" t="s">
        <v>36</v>
      </c>
    </row>
    <row r="2" spans="1:23" x14ac:dyDescent="0.2">
      <c r="A2" s="10" t="s">
        <v>34</v>
      </c>
      <c r="B2" s="46" t="s">
        <v>3</v>
      </c>
      <c r="C2" s="51">
        <f ca="1">HLOOKUP($B2, 'F-Class_SCR_Filtered'!$G$5:$L$38, 8, FALSE)</f>
        <v>10230</v>
      </c>
      <c r="D2" s="51">
        <f ca="1">HLOOKUP($B2, 'F-Class_SCR_Filtered'!$G$5:$L$38, 9, FALSE)</f>
        <v>9880</v>
      </c>
      <c r="E2" s="272">
        <f ca="1">HLOOKUP($B2, 'F-Class_SCR_Filtered'!$G$5:$L$38, 32, FALSE)</f>
        <v>1.48</v>
      </c>
      <c r="F2" s="272">
        <f ca="1">HLOOKUP($B2, 'F-Class_SCR_Filtered'!$G$5:$L$38, 33, FALSE)</f>
        <v>8.7899999999999991</v>
      </c>
      <c r="G2" s="272">
        <f ca="1">HLOOKUP($B2, 'F-Class_SCR_Filtered'!$G$5:$L$38, 4, FALSE)</f>
        <v>216.7</v>
      </c>
      <c r="H2" s="272">
        <f ca="1">HLOOKUP($B2, 'F-Class_SCR_Filtered'!$G$5:$L$38, 5, FALSE)</f>
        <v>227.7</v>
      </c>
      <c r="I2" s="272">
        <f>HLOOKUP($B2, 'F-Class_SCR_Filtered'!$G$5:$L$38, 29, FALSE)</f>
        <v>325</v>
      </c>
      <c r="J2" s="272">
        <f ca="1">HLOOKUP($B2, 'F-Class_SCR_Filtered'!$G$5:$L$38, 34, FALSE)</f>
        <v>9500</v>
      </c>
      <c r="K2" s="272">
        <f ca="1">HLOOKUP($B2, 'F-Class_SCR_Filtered'!$G$5:$L$38, 12, FALSE)</f>
        <v>17.8</v>
      </c>
      <c r="L2" s="272">
        <f ca="1">HLOOKUP($B2, 'F-Class_SCR_Filtered'!$G$5:$L$38, 13, FALSE)</f>
        <v>4.5</v>
      </c>
      <c r="M2" s="272">
        <f ca="1">HLOOKUP($B2, 'F-Class_SCR_Filtered'!$G$5:$L$38, 14, FALSE)</f>
        <v>272400</v>
      </c>
      <c r="N2" s="272">
        <f ca="1">HLOOKUP($B2, 'F-Class_SCR_Filtered'!$G$5:$L$38, 16, FALSE)</f>
        <v>17.191006842619746</v>
      </c>
      <c r="O2" s="272">
        <f ca="1">HLOOKUP($B2, 'F-Class_SCR_Filtered'!$G$5:$L$38, 17, FALSE)</f>
        <v>4.3460410557184748</v>
      </c>
      <c r="P2" s="272">
        <f ca="1">HLOOKUP($B2, 'F-Class_SCR_Filtered'!$G$5:$L$38, 18, FALSE)</f>
        <v>263080.35190615838</v>
      </c>
      <c r="Q2" s="272">
        <f ca="1">HLOOKUP($B2, 'F-Class_SCR_Filtered'!$G$5:$L$38, 20, FALSE)</f>
        <v>64.5</v>
      </c>
      <c r="R2" s="272">
        <f ca="1">HLOOKUP($B2, 'F-Class_SCR_Filtered'!$G$5:$L$38, 21, FALSE)</f>
        <v>3.5</v>
      </c>
      <c r="S2" s="272">
        <f ca="1">HLOOKUP($B2, 'F-Class_SCR_Filtered'!$G$5:$L$38, 22, FALSE)</f>
        <v>363200</v>
      </c>
      <c r="T2" s="272">
        <f ca="1">HLOOKUP($B2, 'F-Class_SCR_Filtered'!$G$5:$L$38, 24, FALSE)</f>
        <v>62.293255131964813</v>
      </c>
      <c r="U2" s="272">
        <f ca="1">HLOOKUP($B2, 'F-Class_SCR_Filtered'!$G$5:$L$38, 25, FALSE)</f>
        <v>3.3802541544477029</v>
      </c>
      <c r="V2" s="272">
        <f ca="1">HLOOKUP($B2, 'F-Class_SCR_Filtered'!$G$5:$L$38, 26, FALSE)</f>
        <v>350773.80254154449</v>
      </c>
      <c r="W2" s="272">
        <f ca="1">1-HLOOKUP($B2, 'F-Class_SCR_Filtered'!$G$5:$L$38, 30, FALSE)</f>
        <v>0.95660000000000001</v>
      </c>
    </row>
    <row r="3" spans="1:23" x14ac:dyDescent="0.2">
      <c r="A3" s="10" t="s">
        <v>33</v>
      </c>
      <c r="B3" s="46" t="s">
        <v>30</v>
      </c>
      <c r="C3" s="51">
        <f ca="1">HLOOKUP($B3, 'F-Class_SCR_Filtered'!$G$5:$L$38, 8, FALSE)</f>
        <v>10220</v>
      </c>
      <c r="D3" s="51">
        <f ca="1">HLOOKUP($B3, 'F-Class_SCR_Filtered'!$G$5:$L$38, 9, FALSE)</f>
        <v>9890</v>
      </c>
      <c r="E3" s="272">
        <f ca="1">HLOOKUP($B3, 'F-Class_SCR_Filtered'!$G$5:$L$38, 32, FALSE)</f>
        <v>1.5</v>
      </c>
      <c r="F3" s="272">
        <f ca="1">HLOOKUP($B3, 'F-Class_SCR_Filtered'!$G$5:$L$38, 33, FALSE)</f>
        <v>9.17</v>
      </c>
      <c r="G3" s="272">
        <f ca="1">HLOOKUP($B3, 'F-Class_SCR_Filtered'!$G$5:$L$38, 4, FALSE)</f>
        <v>216.9</v>
      </c>
      <c r="H3" s="272">
        <f ca="1">HLOOKUP($B3, 'F-Class_SCR_Filtered'!$G$5:$L$38, 5, FALSE)</f>
        <v>227.3</v>
      </c>
      <c r="I3" s="272">
        <f>HLOOKUP($B3, 'F-Class_SCR_Filtered'!$G$5:$L$38, 29, FALSE)</f>
        <v>325</v>
      </c>
      <c r="J3" s="272">
        <f ca="1">HLOOKUP($B3, 'F-Class_SCR_Filtered'!$G$5:$L$38, 34, FALSE)</f>
        <v>9500</v>
      </c>
      <c r="K3" s="272">
        <f ca="1">HLOOKUP($B3, 'F-Class_SCR_Filtered'!$G$5:$L$38, 12, FALSE)</f>
        <v>17.8</v>
      </c>
      <c r="L3" s="272">
        <f ca="1">HLOOKUP($B3, 'F-Class_SCR_Filtered'!$G$5:$L$38, 13, FALSE)</f>
        <v>4.5</v>
      </c>
      <c r="M3" s="272">
        <f ca="1">HLOOKUP($B3, 'F-Class_SCR_Filtered'!$G$5:$L$38, 14, FALSE)</f>
        <v>272400</v>
      </c>
      <c r="N3" s="272">
        <f ca="1">HLOOKUP($B3, 'F-Class_SCR_Filtered'!$G$5:$L$38, 16, FALSE)</f>
        <v>17.225244618395305</v>
      </c>
      <c r="O3" s="272">
        <f ca="1">HLOOKUP($B3, 'F-Class_SCR_Filtered'!$G$5:$L$38, 17, FALSE)</f>
        <v>4.3546966731898236</v>
      </c>
      <c r="P3" s="272">
        <f ca="1">HLOOKUP($B3, 'F-Class_SCR_Filtered'!$G$5:$L$38, 18, FALSE)</f>
        <v>263604.30528375733</v>
      </c>
      <c r="Q3" s="272">
        <f ca="1">HLOOKUP($B3, 'F-Class_SCR_Filtered'!$G$5:$L$38, 20, FALSE)</f>
        <v>64.5</v>
      </c>
      <c r="R3" s="272">
        <f ca="1">HLOOKUP($B3, 'F-Class_SCR_Filtered'!$G$5:$L$38, 21, FALSE)</f>
        <v>3.5</v>
      </c>
      <c r="S3" s="272">
        <f ca="1">HLOOKUP($B3, 'F-Class_SCR_Filtered'!$G$5:$L$38, 22, FALSE)</f>
        <v>363200</v>
      </c>
      <c r="T3" s="272">
        <f ca="1">HLOOKUP($B3, 'F-Class_SCR_Filtered'!$G$5:$L$38, 24, FALSE)</f>
        <v>62.417318982387478</v>
      </c>
      <c r="U3" s="272">
        <f ca="1">HLOOKUP($B3, 'F-Class_SCR_Filtered'!$G$5:$L$38, 25, FALSE)</f>
        <v>3.3869863013698631</v>
      </c>
      <c r="V3" s="272">
        <f ca="1">HLOOKUP($B3, 'F-Class_SCR_Filtered'!$G$5:$L$38, 26, FALSE)</f>
        <v>351472.40704500978</v>
      </c>
      <c r="W3" s="272">
        <f ca="1">1-HLOOKUP($B3, 'F-Class_SCR_Filtered'!$G$5:$L$38, 30, FALSE)</f>
        <v>0.95660000000000001</v>
      </c>
    </row>
    <row r="4" spans="1:23" x14ac:dyDescent="0.2">
      <c r="A4" s="10" t="s">
        <v>56</v>
      </c>
      <c r="B4" s="46" t="s">
        <v>22</v>
      </c>
      <c r="C4" s="51">
        <f ca="1">HLOOKUP($B4, 'F-Class_SCR_Filtered'!$G$5:$L$38, 8, FALSE)</f>
        <v>10230</v>
      </c>
      <c r="D4" s="51">
        <f ca="1">HLOOKUP($B4, 'F-Class_SCR_Filtered'!$G$5:$L$38, 9, FALSE)</f>
        <v>9880</v>
      </c>
      <c r="E4" s="272">
        <f ca="1">HLOOKUP($B4, 'F-Class_SCR_Filtered'!$G$5:$L$38, 32, FALSE)</f>
        <v>1.48</v>
      </c>
      <c r="F4" s="272">
        <f ca="1">HLOOKUP($B4, 'F-Class_SCR_Filtered'!$G$5:$L$38, 33, FALSE)</f>
        <v>8.8000000000000007</v>
      </c>
      <c r="G4" s="272">
        <f ca="1">HLOOKUP($B4, 'F-Class_SCR_Filtered'!$G$5:$L$38, 4, FALSE)</f>
        <v>215.5</v>
      </c>
      <c r="H4" s="272">
        <f ca="1">HLOOKUP($B4, 'F-Class_SCR_Filtered'!$G$5:$L$38, 5, FALSE)</f>
        <v>226.9</v>
      </c>
      <c r="I4" s="272">
        <f>HLOOKUP($B4, 'F-Class_SCR_Filtered'!$G$5:$L$38, 29, FALSE)</f>
        <v>325</v>
      </c>
      <c r="J4" s="272">
        <f ca="1">HLOOKUP($B4, 'F-Class_SCR_Filtered'!$G$5:$L$38, 34, FALSE)</f>
        <v>9500</v>
      </c>
      <c r="K4" s="272">
        <f ca="1">HLOOKUP($B4, 'F-Class_SCR_Filtered'!$G$5:$L$38, 12, FALSE)</f>
        <v>17.8</v>
      </c>
      <c r="L4" s="272">
        <f ca="1">HLOOKUP($B4, 'F-Class_SCR_Filtered'!$G$5:$L$38, 13, FALSE)</f>
        <v>4.5</v>
      </c>
      <c r="M4" s="272">
        <f ca="1">HLOOKUP($B4, 'F-Class_SCR_Filtered'!$G$5:$L$38, 14, FALSE)</f>
        <v>270000</v>
      </c>
      <c r="N4" s="272">
        <f ca="1">HLOOKUP($B4, 'F-Class_SCR_Filtered'!$G$5:$L$38, 16, FALSE)</f>
        <v>17.191006842619746</v>
      </c>
      <c r="O4" s="272">
        <f ca="1">HLOOKUP($B4, 'F-Class_SCR_Filtered'!$G$5:$L$38, 17, FALSE)</f>
        <v>4.3460410557184748</v>
      </c>
      <c r="P4" s="272">
        <f ca="1">HLOOKUP($B4, 'F-Class_SCR_Filtered'!$G$5:$L$38, 18, FALSE)</f>
        <v>260762.46334310851</v>
      </c>
      <c r="Q4" s="272">
        <f ca="1">HLOOKUP($B4, 'F-Class_SCR_Filtered'!$G$5:$L$38, 20, FALSE)</f>
        <v>64.5</v>
      </c>
      <c r="R4" s="272">
        <f ca="1">HLOOKUP($B4, 'F-Class_SCR_Filtered'!$G$5:$L$38, 21, FALSE)</f>
        <v>3.4</v>
      </c>
      <c r="S4" s="272">
        <f ca="1">HLOOKUP($B4, 'F-Class_SCR_Filtered'!$G$5:$L$38, 22, FALSE)</f>
        <v>360000</v>
      </c>
      <c r="T4" s="272">
        <f ca="1">HLOOKUP($B4, 'F-Class_SCR_Filtered'!$G$5:$L$38, 24, FALSE)</f>
        <v>62.293255131964813</v>
      </c>
      <c r="U4" s="272">
        <f ca="1">HLOOKUP($B4, 'F-Class_SCR_Filtered'!$G$5:$L$38, 25, FALSE)</f>
        <v>3.2836754643206256</v>
      </c>
      <c r="V4" s="272">
        <f ca="1">HLOOKUP($B4, 'F-Class_SCR_Filtered'!$G$5:$L$38, 26, FALSE)</f>
        <v>347683.28445747803</v>
      </c>
      <c r="W4" s="272">
        <f ca="1">1-HLOOKUP($B4, 'F-Class_SCR_Filtered'!$G$5:$L$38, 30, FALSE)</f>
        <v>0.95660000000000001</v>
      </c>
    </row>
    <row r="5" spans="1:23" x14ac:dyDescent="0.2">
      <c r="A5" s="10" t="s">
        <v>38</v>
      </c>
      <c r="B5" s="46" t="s">
        <v>23</v>
      </c>
      <c r="C5" s="51">
        <f ca="1">HLOOKUP($B5, 'F-Class_SCR_Filtered'!$G$5:$L$38, 8, FALSE)</f>
        <v>10230</v>
      </c>
      <c r="D5" s="51">
        <f ca="1">HLOOKUP($B5, 'F-Class_SCR_Filtered'!$G$5:$L$38, 9, FALSE)</f>
        <v>9880</v>
      </c>
      <c r="E5" s="272">
        <f ca="1">HLOOKUP($B5, 'F-Class_SCR_Filtered'!$G$5:$L$38, 32, FALSE)</f>
        <v>1.48</v>
      </c>
      <c r="F5" s="272">
        <f ca="1">HLOOKUP($B5, 'F-Class_SCR_Filtered'!$G$5:$L$38, 33, FALSE)</f>
        <v>8.8000000000000007</v>
      </c>
      <c r="G5" s="272">
        <f ca="1">HLOOKUP($B5, 'F-Class_SCR_Filtered'!$G$5:$L$38, 4, FALSE)</f>
        <v>215.4</v>
      </c>
      <c r="H5" s="272">
        <f ca="1">HLOOKUP($B5, 'F-Class_SCR_Filtered'!$G$5:$L$38, 5, FALSE)</f>
        <v>226.8</v>
      </c>
      <c r="I5" s="272">
        <f>HLOOKUP($B5, 'F-Class_SCR_Filtered'!$G$5:$L$38, 29, FALSE)</f>
        <v>325</v>
      </c>
      <c r="J5" s="272">
        <f ca="1">HLOOKUP($B5, 'F-Class_SCR_Filtered'!$G$5:$L$38, 34, FALSE)</f>
        <v>9500</v>
      </c>
      <c r="K5" s="272">
        <f ca="1">HLOOKUP($B5, 'F-Class_SCR_Filtered'!$G$5:$L$38, 12, FALSE)</f>
        <v>17.8</v>
      </c>
      <c r="L5" s="272">
        <f ca="1">HLOOKUP($B5, 'F-Class_SCR_Filtered'!$G$5:$L$38, 13, FALSE)</f>
        <v>4.5</v>
      </c>
      <c r="M5" s="272">
        <f ca="1">HLOOKUP($B5, 'F-Class_SCR_Filtered'!$G$5:$L$38, 14, FALSE)</f>
        <v>270000</v>
      </c>
      <c r="N5" s="272">
        <f ca="1">HLOOKUP($B5, 'F-Class_SCR_Filtered'!$G$5:$L$38, 16, FALSE)</f>
        <v>17.191006842619746</v>
      </c>
      <c r="O5" s="272">
        <f ca="1">HLOOKUP($B5, 'F-Class_SCR_Filtered'!$G$5:$L$38, 17, FALSE)</f>
        <v>4.3460410557184748</v>
      </c>
      <c r="P5" s="272">
        <f ca="1">HLOOKUP($B5, 'F-Class_SCR_Filtered'!$G$5:$L$38, 18, FALSE)</f>
        <v>260762.46334310851</v>
      </c>
      <c r="Q5" s="272">
        <f ca="1">HLOOKUP($B5, 'F-Class_SCR_Filtered'!$G$5:$L$38, 20, FALSE)</f>
        <v>64.5</v>
      </c>
      <c r="R5" s="272">
        <f ca="1">HLOOKUP($B5, 'F-Class_SCR_Filtered'!$G$5:$L$38, 21, FALSE)</f>
        <v>3.4</v>
      </c>
      <c r="S5" s="272">
        <f ca="1">HLOOKUP($B5, 'F-Class_SCR_Filtered'!$G$5:$L$38, 22, FALSE)</f>
        <v>360000</v>
      </c>
      <c r="T5" s="272">
        <f ca="1">HLOOKUP($B5, 'F-Class_SCR_Filtered'!$G$5:$L$38, 24, FALSE)</f>
        <v>62.293255131964813</v>
      </c>
      <c r="U5" s="272">
        <f ca="1">HLOOKUP($B5, 'F-Class_SCR_Filtered'!$G$5:$L$38, 25, FALSE)</f>
        <v>3.2836754643206256</v>
      </c>
      <c r="V5" s="272">
        <f ca="1">HLOOKUP($B5, 'F-Class_SCR_Filtered'!$G$5:$L$38, 26, FALSE)</f>
        <v>347683.28445747803</v>
      </c>
      <c r="W5" s="272">
        <f ca="1">1-HLOOKUP($B5, 'F-Class_SCR_Filtered'!$G$5:$L$38, 30, FALSE)</f>
        <v>0.95660000000000001</v>
      </c>
    </row>
    <row r="6" spans="1:23" x14ac:dyDescent="0.2">
      <c r="A6" s="10" t="s">
        <v>32</v>
      </c>
      <c r="B6" s="46" t="s">
        <v>4</v>
      </c>
      <c r="C6" s="51">
        <f ca="1">HLOOKUP($B6, 'F-Class_SCR_Filtered'!$G$5:$L$38, 8, FALSE)</f>
        <v>10220</v>
      </c>
      <c r="D6" s="51">
        <f ca="1">HLOOKUP($B6, 'F-Class_SCR_Filtered'!$G$5:$L$38, 9, FALSE)</f>
        <v>9870</v>
      </c>
      <c r="E6" s="272">
        <f ca="1">HLOOKUP($B6, 'F-Class_SCR_Filtered'!$G$5:$L$38, 32, FALSE)</f>
        <v>1.48</v>
      </c>
      <c r="F6" s="272">
        <f ca="1">HLOOKUP($B6, 'F-Class_SCR_Filtered'!$G$5:$L$38, 33, FALSE)</f>
        <v>8.8000000000000007</v>
      </c>
      <c r="G6" s="272">
        <f ca="1">HLOOKUP($B6, 'F-Class_SCR_Filtered'!$G$5:$L$38, 4, FALSE)</f>
        <v>215.2</v>
      </c>
      <c r="H6" s="272">
        <f ca="1">HLOOKUP($B6, 'F-Class_SCR_Filtered'!$G$5:$L$38, 5, FALSE)</f>
        <v>226.5</v>
      </c>
      <c r="I6" s="272">
        <f>HLOOKUP($B6, 'F-Class_SCR_Filtered'!$G$5:$L$38, 29, FALSE)</f>
        <v>325</v>
      </c>
      <c r="J6" s="272">
        <f ca="1">HLOOKUP($B6, 'F-Class_SCR_Filtered'!$G$5:$L$38, 34, FALSE)</f>
        <v>9500</v>
      </c>
      <c r="K6" s="272">
        <f ca="1">HLOOKUP($B6, 'F-Class_SCR_Filtered'!$G$5:$L$38, 12, FALSE)</f>
        <v>17.8</v>
      </c>
      <c r="L6" s="272">
        <f ca="1">HLOOKUP($B6, 'F-Class_SCR_Filtered'!$G$5:$L$38, 13, FALSE)</f>
        <v>4.5</v>
      </c>
      <c r="M6" s="272">
        <f ca="1">HLOOKUP($B6, 'F-Class_SCR_Filtered'!$G$5:$L$38, 14, FALSE)</f>
        <v>270000</v>
      </c>
      <c r="N6" s="272">
        <f ca="1">HLOOKUP($B6, 'F-Class_SCR_Filtered'!$G$5:$L$38, 16, FALSE)</f>
        <v>17.19041095890411</v>
      </c>
      <c r="O6" s="272">
        <f ca="1">HLOOKUP($B6, 'F-Class_SCR_Filtered'!$G$5:$L$38, 17, FALSE)</f>
        <v>4.345890410958904</v>
      </c>
      <c r="P6" s="272">
        <f ca="1">HLOOKUP($B6, 'F-Class_SCR_Filtered'!$G$5:$L$38, 18, FALSE)</f>
        <v>260753.42465753425</v>
      </c>
      <c r="Q6" s="272">
        <f ca="1">HLOOKUP($B6, 'F-Class_SCR_Filtered'!$G$5:$L$38, 20, FALSE)</f>
        <v>64.5</v>
      </c>
      <c r="R6" s="272">
        <f ca="1">HLOOKUP($B6, 'F-Class_SCR_Filtered'!$G$5:$L$38, 21, FALSE)</f>
        <v>3.4</v>
      </c>
      <c r="S6" s="272">
        <f ca="1">HLOOKUP($B6, 'F-Class_SCR_Filtered'!$G$5:$L$38, 22, FALSE)</f>
        <v>360000</v>
      </c>
      <c r="T6" s="272">
        <f ca="1">HLOOKUP($B6, 'F-Class_SCR_Filtered'!$G$5:$L$38, 24, FALSE)</f>
        <v>62.291095890410958</v>
      </c>
      <c r="U6" s="272">
        <f ca="1">HLOOKUP($B6, 'F-Class_SCR_Filtered'!$G$5:$L$38, 25, FALSE)</f>
        <v>3.2835616438356166</v>
      </c>
      <c r="V6" s="272">
        <f ca="1">HLOOKUP($B6, 'F-Class_SCR_Filtered'!$G$5:$L$38, 26, FALSE)</f>
        <v>347671.23287671234</v>
      </c>
      <c r="W6" s="272">
        <f ca="1">1-HLOOKUP($B6, 'F-Class_SCR_Filtered'!$G$5:$L$38, 30, FALSE)</f>
        <v>0.95660000000000001</v>
      </c>
    </row>
    <row r="7" spans="1:23" x14ac:dyDescent="0.2">
      <c r="A7" s="10" t="s">
        <v>31</v>
      </c>
      <c r="B7" s="46" t="s">
        <v>5</v>
      </c>
      <c r="C7" s="51">
        <f ca="1">HLOOKUP($B7, 'F-Class_SCR_Filtered'!$G$5:$L$38, 8, FALSE)</f>
        <v>10210</v>
      </c>
      <c r="D7" s="51">
        <f ca="1">HLOOKUP($B7, 'F-Class_SCR_Filtered'!$G$5:$L$38, 9, FALSE)</f>
        <v>9870</v>
      </c>
      <c r="E7" s="272">
        <f ca="1">HLOOKUP($B7, 'F-Class_SCR_Filtered'!$G$5:$L$38, 32, FALSE)</f>
        <v>1.48</v>
      </c>
      <c r="F7" s="272">
        <f ca="1">HLOOKUP($B7, 'F-Class_SCR_Filtered'!$G$5:$L$38, 33, FALSE)</f>
        <v>8.8000000000000007</v>
      </c>
      <c r="G7" s="272">
        <f ca="1">HLOOKUP($B7, 'F-Class_SCR_Filtered'!$G$5:$L$38, 4, FALSE)</f>
        <v>214.3</v>
      </c>
      <c r="H7" s="272">
        <f ca="1">HLOOKUP($B7, 'F-Class_SCR_Filtered'!$G$5:$L$38, 5, FALSE)</f>
        <v>225.4</v>
      </c>
      <c r="I7" s="272">
        <f>HLOOKUP($B7, 'F-Class_SCR_Filtered'!$G$5:$L$38, 29, FALSE)</f>
        <v>325</v>
      </c>
      <c r="J7" s="272">
        <f ca="1">HLOOKUP($B7, 'F-Class_SCR_Filtered'!$G$5:$L$38, 34, FALSE)</f>
        <v>9500</v>
      </c>
      <c r="K7" s="272">
        <f ca="1">HLOOKUP($B7, 'F-Class_SCR_Filtered'!$G$5:$L$38, 12, FALSE)</f>
        <v>17.8</v>
      </c>
      <c r="L7" s="272">
        <f ca="1">HLOOKUP($B7, 'F-Class_SCR_Filtered'!$G$5:$L$38, 13, FALSE)</f>
        <v>4.5</v>
      </c>
      <c r="M7" s="272">
        <f ca="1">HLOOKUP($B7, 'F-Class_SCR_Filtered'!$G$5:$L$38, 14, FALSE)</f>
        <v>271200</v>
      </c>
      <c r="N7" s="272">
        <f ca="1">HLOOKUP($B7, 'F-Class_SCR_Filtered'!$G$5:$L$38, 16, FALSE)</f>
        <v>17.207247796278157</v>
      </c>
      <c r="O7" s="272">
        <f ca="1">HLOOKUP($B7, 'F-Class_SCR_Filtered'!$G$5:$L$38, 17, FALSE)</f>
        <v>4.3501469147894225</v>
      </c>
      <c r="P7" s="272">
        <f ca="1">HLOOKUP($B7, 'F-Class_SCR_Filtered'!$G$5:$L$38, 18, FALSE)</f>
        <v>262168.85406464251</v>
      </c>
      <c r="Q7" s="272">
        <f ca="1">HLOOKUP($B7, 'F-Class_SCR_Filtered'!$G$5:$L$38, 20, FALSE)</f>
        <v>64.5</v>
      </c>
      <c r="R7" s="272">
        <f ca="1">HLOOKUP($B7, 'F-Class_SCR_Filtered'!$G$5:$L$38, 21, FALSE)</f>
        <v>3.4</v>
      </c>
      <c r="S7" s="272">
        <f ca="1">HLOOKUP($B7, 'F-Class_SCR_Filtered'!$G$5:$L$38, 22, FALSE)</f>
        <v>361600</v>
      </c>
      <c r="T7" s="272">
        <f ca="1">HLOOKUP($B7, 'F-Class_SCR_Filtered'!$G$5:$L$38, 24, FALSE)</f>
        <v>62.352105778648387</v>
      </c>
      <c r="U7" s="272">
        <f ca="1">HLOOKUP($B7, 'F-Class_SCR_Filtered'!$G$5:$L$38, 25, FALSE)</f>
        <v>3.2867776689520078</v>
      </c>
      <c r="V7" s="272">
        <f ca="1">HLOOKUP($B7, 'F-Class_SCR_Filtered'!$G$5:$L$38, 26, FALSE)</f>
        <v>349558.47208619001</v>
      </c>
      <c r="W7" s="272">
        <f ca="1">1-HLOOKUP($B7, 'F-Class_SCR_Filtered'!$G$5:$L$38, 30, FALSE)</f>
        <v>0.95660000000000001</v>
      </c>
    </row>
  </sheetData>
  <pageMargins left="0.7" right="0.7" top="0.75" bottom="0.75" header="0.3" footer="0.3"/>
  <pageSetup scale="59" fitToWidth="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
  <sheetViews>
    <sheetView workbookViewId="0"/>
  </sheetViews>
  <sheetFormatPr defaultRowHeight="12.75" x14ac:dyDescent="0.2"/>
  <cols>
    <col min="1" max="1" width="7" customWidth="1"/>
    <col min="2" max="2" width="26.5" customWidth="1"/>
    <col min="3" max="3" width="12.1640625" bestFit="1" customWidth="1"/>
    <col min="4" max="4" width="11.83203125" bestFit="1" customWidth="1"/>
    <col min="5" max="6" width="12.1640625" bestFit="1" customWidth="1"/>
    <col min="7" max="7" width="14.33203125" bestFit="1" customWidth="1"/>
    <col min="8" max="8" width="14" bestFit="1" customWidth="1"/>
    <col min="9" max="9" width="19.5" bestFit="1" customWidth="1"/>
    <col min="10" max="10" width="19.33203125" bestFit="1" customWidth="1"/>
    <col min="11" max="11" width="18.1640625" bestFit="1" customWidth="1"/>
    <col min="12" max="12" width="17.1640625" bestFit="1" customWidth="1"/>
    <col min="13" max="13" width="17.5" bestFit="1" customWidth="1"/>
    <col min="14" max="14" width="17.83203125" bestFit="1" customWidth="1"/>
    <col min="15" max="15" width="16.83203125" bestFit="1" customWidth="1"/>
    <col min="16" max="16" width="17" bestFit="1" customWidth="1"/>
    <col min="17" max="17" width="18.6640625" bestFit="1" customWidth="1"/>
    <col min="18" max="18" width="17.83203125" bestFit="1" customWidth="1"/>
    <col min="19" max="19" width="18" bestFit="1" customWidth="1"/>
    <col min="20" max="20" width="18.33203125" bestFit="1" customWidth="1"/>
    <col min="21" max="21" width="17.5" bestFit="1" customWidth="1"/>
    <col min="22" max="22" width="17.6640625" bestFit="1" customWidth="1"/>
    <col min="23" max="23" width="9.83203125" bestFit="1" customWidth="1"/>
  </cols>
  <sheetData>
    <row r="1" spans="1:27" x14ac:dyDescent="0.2">
      <c r="A1" s="47" t="s">
        <v>37</v>
      </c>
      <c r="B1" s="47" t="s">
        <v>55</v>
      </c>
      <c r="C1" s="49" t="s">
        <v>39</v>
      </c>
      <c r="D1" s="49" t="s">
        <v>40</v>
      </c>
      <c r="E1" s="49" t="s">
        <v>41</v>
      </c>
      <c r="F1" s="49" t="s">
        <v>42</v>
      </c>
      <c r="G1" s="49" t="s">
        <v>423</v>
      </c>
      <c r="H1" s="49" t="s">
        <v>424</v>
      </c>
      <c r="I1" s="49" t="s">
        <v>35</v>
      </c>
      <c r="J1" s="48" t="s">
        <v>434</v>
      </c>
      <c r="K1" s="49" t="s">
        <v>43</v>
      </c>
      <c r="L1" s="49" t="s">
        <v>44</v>
      </c>
      <c r="M1" s="49" t="s">
        <v>45</v>
      </c>
      <c r="N1" s="49" t="s">
        <v>46</v>
      </c>
      <c r="O1" s="49" t="s">
        <v>47</v>
      </c>
      <c r="P1" s="49" t="s">
        <v>48</v>
      </c>
      <c r="Q1" s="49" t="s">
        <v>49</v>
      </c>
      <c r="R1" s="49" t="s">
        <v>50</v>
      </c>
      <c r="S1" s="49" t="s">
        <v>51</v>
      </c>
      <c r="T1" s="49" t="s">
        <v>52</v>
      </c>
      <c r="U1" s="49" t="s">
        <v>53</v>
      </c>
      <c r="V1" s="49" t="s">
        <v>54</v>
      </c>
      <c r="W1" s="49" t="s">
        <v>36</v>
      </c>
      <c r="X1" s="49"/>
      <c r="Y1" s="49"/>
      <c r="Z1" s="49"/>
      <c r="AA1" s="49"/>
    </row>
    <row r="2" spans="1:27" x14ac:dyDescent="0.2">
      <c r="A2" s="10" t="s">
        <v>34</v>
      </c>
      <c r="B2" s="46" t="s">
        <v>3</v>
      </c>
      <c r="C2" s="51">
        <f ca="1">HLOOKUP($B2, 'F-Class_NoSCR_Filtered'!$G$5:$M$38, 8, FALSE)</f>
        <v>10230</v>
      </c>
      <c r="D2" s="51">
        <f ca="1">HLOOKUP($B2, 'F-Class_NoSCR_Filtered'!$G$5:$M$38, 9, FALSE)</f>
        <v>9880</v>
      </c>
      <c r="E2" s="272">
        <f ca="1">HLOOKUP($B2, 'F-Class_NoSCR_Filtered'!$G$5:$M$38, 32, FALSE)</f>
        <v>0.91</v>
      </c>
      <c r="F2" s="272">
        <f ca="1">HLOOKUP($B2, 'F-Class_NoSCR_Filtered'!$G$5:$M$38, 33, FALSE)</f>
        <v>7.9999999999999991</v>
      </c>
      <c r="G2" s="272">
        <f ca="1">HLOOKUP($B2, 'F-Class_NoSCR_Filtered'!$G$5:$M$38, 4, FALSE)</f>
        <v>216.7</v>
      </c>
      <c r="H2" s="272">
        <f ca="1">HLOOKUP($B2, 'F-Class_NoSCR_Filtered'!$G$5:$M$38, 5, FALSE)</f>
        <v>227.7</v>
      </c>
      <c r="I2" s="272">
        <f>HLOOKUP($B2, 'F-Class_NoSCR_Filtered'!$G$5:$M$38, 29, FALSE)</f>
        <v>325</v>
      </c>
      <c r="J2" s="272">
        <f ca="1">HLOOKUP($B2, 'F-Class_NoSCR_Filtered'!$G$5:$M$38, 34, FALSE)</f>
        <v>9500</v>
      </c>
      <c r="K2" s="272">
        <f ca="1">HLOOKUP($B2, 'F-Class_NoSCR_Filtered'!$G$5:$M$38, 12, FALSE)</f>
        <v>79.900000000000006</v>
      </c>
      <c r="L2" s="272">
        <f ca="1">HLOOKUP($B2, 'F-Class_NoSCR_Filtered'!$G$5:$M$38, 13, FALSE)</f>
        <v>4.5</v>
      </c>
      <c r="M2" s="272">
        <f ca="1">HLOOKUP($B2, 'F-Class_NoSCR_Filtered'!$G$5:$M$38, 14, FALSE)</f>
        <v>272400</v>
      </c>
      <c r="N2" s="272">
        <f ca="1">HLOOKUP($B2, 'F-Class_NoSCR_Filtered'!$G$5:$M$38, 16, FALSE)</f>
        <v>77.166373411534707</v>
      </c>
      <c r="O2" s="272">
        <f ca="1">HLOOKUP($B2, 'F-Class_NoSCR_Filtered'!$G$5:$M$38, 17, FALSE)</f>
        <v>4.3460410557184748</v>
      </c>
      <c r="P2" s="272">
        <f ca="1">HLOOKUP($B2, 'F-Class_NoSCR_Filtered'!$G$5:$M$38, 18, FALSE)</f>
        <v>263080.35190615838</v>
      </c>
      <c r="Q2" s="272">
        <f ca="1">HLOOKUP($B2, 'F-Class_NoSCR_Filtered'!$G$5:$M$38, 20, FALSE)</f>
        <v>430</v>
      </c>
      <c r="R2" s="272">
        <f ca="1">HLOOKUP($B2, 'F-Class_NoSCR_Filtered'!$G$5:$M$38, 21, FALSE)</f>
        <v>3.5</v>
      </c>
      <c r="S2" s="272">
        <f ca="1">HLOOKUP($B2, 'F-Class_NoSCR_Filtered'!$G$5:$M$38, 22, FALSE)</f>
        <v>363200</v>
      </c>
      <c r="T2" s="272">
        <f ca="1">HLOOKUP($B2, 'F-Class_NoSCR_Filtered'!$G$5:$M$38, 24, FALSE)</f>
        <v>415.28836754643208</v>
      </c>
      <c r="U2" s="272">
        <f ca="1">HLOOKUP($B2, 'F-Class_NoSCR_Filtered'!$G$5:$M$38, 25, FALSE)</f>
        <v>3.3802541544477029</v>
      </c>
      <c r="V2" s="272">
        <f ca="1">HLOOKUP($B2, 'F-Class_NoSCR_Filtered'!$G$5:$M$38, 26, FALSE)</f>
        <v>350773.80254154449</v>
      </c>
      <c r="W2" s="272">
        <f ca="1">1-HLOOKUP($B2, 'F-Class_NoSCR_Filtered'!$G$5:$M$38, 30, FALSE)</f>
        <v>0.95660000000000001</v>
      </c>
      <c r="X2" s="51"/>
      <c r="Y2" s="51"/>
      <c r="Z2" s="50"/>
      <c r="AA2" s="50"/>
    </row>
    <row r="3" spans="1:27" x14ac:dyDescent="0.2">
      <c r="A3" s="10" t="s">
        <v>33</v>
      </c>
      <c r="B3" s="46" t="s">
        <v>30</v>
      </c>
      <c r="C3" s="51">
        <f ca="1">HLOOKUP($B3, 'F-Class_NoSCR_Filtered'!$G$5:$M$38, 8, FALSE)</f>
        <v>10220</v>
      </c>
      <c r="D3" s="51">
        <f ca="1">HLOOKUP($B3, 'F-Class_NoSCR_Filtered'!$G$5:$M$38, 9, FALSE)</f>
        <v>9890</v>
      </c>
      <c r="E3" s="272">
        <f ca="1">HLOOKUP($B3, 'F-Class_NoSCR_Filtered'!$G$5:$M$38, 32, FALSE)</f>
        <v>0.93</v>
      </c>
      <c r="F3" s="272">
        <f ca="1">HLOOKUP($B3, 'F-Class_NoSCR_Filtered'!$G$5:$M$38, 33, FALSE)</f>
        <v>8.379999999999999</v>
      </c>
      <c r="G3" s="272">
        <f ca="1">HLOOKUP($B3, 'F-Class_NoSCR_Filtered'!$G$5:$M$38, 4, FALSE)</f>
        <v>216.9</v>
      </c>
      <c r="H3" s="272">
        <f ca="1">HLOOKUP($B3, 'F-Class_NoSCR_Filtered'!$G$5:$M$38, 5, FALSE)</f>
        <v>227.3</v>
      </c>
      <c r="I3" s="272">
        <f>HLOOKUP($B3, 'F-Class_NoSCR_Filtered'!$G$5:$M$38, 29, FALSE)</f>
        <v>325</v>
      </c>
      <c r="J3" s="272">
        <f ca="1">HLOOKUP($B3, 'F-Class_NoSCR_Filtered'!$G$5:$M$38, 34, FALSE)</f>
        <v>9500</v>
      </c>
      <c r="K3" s="272">
        <f ca="1">HLOOKUP($B3, 'F-Class_NoSCR_Filtered'!$G$5:$M$38, 12, FALSE)</f>
        <v>79.900000000000006</v>
      </c>
      <c r="L3" s="272">
        <f ca="1">HLOOKUP($B3, 'F-Class_NoSCR_Filtered'!$G$5:$M$38, 13, FALSE)</f>
        <v>4.5</v>
      </c>
      <c r="M3" s="272">
        <f ca="1">HLOOKUP($B3, 'F-Class_NoSCR_Filtered'!$G$5:$M$38, 14, FALSE)</f>
        <v>272400</v>
      </c>
      <c r="N3" s="272">
        <f ca="1">HLOOKUP($B3, 'F-Class_NoSCR_Filtered'!$G$5:$M$38, 16, FALSE)</f>
        <v>77.320058708414876</v>
      </c>
      <c r="O3" s="272">
        <f ca="1">HLOOKUP($B3, 'F-Class_NoSCR_Filtered'!$G$5:$M$38, 17, FALSE)</f>
        <v>4.3546966731898236</v>
      </c>
      <c r="P3" s="272">
        <f ca="1">HLOOKUP($B3, 'F-Class_NoSCR_Filtered'!$G$5:$M$38, 18, FALSE)</f>
        <v>263604.30528375733</v>
      </c>
      <c r="Q3" s="272">
        <f ca="1">HLOOKUP($B3, 'F-Class_NoSCR_Filtered'!$G$5:$M$38, 20, FALSE)</f>
        <v>430</v>
      </c>
      <c r="R3" s="272">
        <f ca="1">HLOOKUP($B3, 'F-Class_NoSCR_Filtered'!$G$5:$M$38, 21, FALSE)</f>
        <v>3.5</v>
      </c>
      <c r="S3" s="272">
        <f ca="1">HLOOKUP($B3, 'F-Class_NoSCR_Filtered'!$G$5:$M$38, 22, FALSE)</f>
        <v>363200</v>
      </c>
      <c r="T3" s="272">
        <f ca="1">HLOOKUP($B3, 'F-Class_NoSCR_Filtered'!$G$5:$M$38, 24, FALSE)</f>
        <v>416.1154598825832</v>
      </c>
      <c r="U3" s="272">
        <f ca="1">HLOOKUP($B3, 'F-Class_NoSCR_Filtered'!$G$5:$M$38, 25, FALSE)</f>
        <v>3.3869863013698631</v>
      </c>
      <c r="V3" s="272">
        <f ca="1">HLOOKUP($B3, 'F-Class_NoSCR_Filtered'!$G$5:$M$38, 26, FALSE)</f>
        <v>351472.40704500978</v>
      </c>
      <c r="W3" s="272">
        <f ca="1">1-HLOOKUP($B3, 'F-Class_NoSCR_Filtered'!$G$5:$M$38, 30, FALSE)</f>
        <v>0.95660000000000001</v>
      </c>
      <c r="X3" s="51"/>
      <c r="Y3" s="51"/>
      <c r="Z3" s="50"/>
      <c r="AA3" s="50"/>
    </row>
    <row r="4" spans="1:27" x14ac:dyDescent="0.2">
      <c r="A4" s="10" t="s">
        <v>56</v>
      </c>
      <c r="B4" s="46" t="s">
        <v>22</v>
      </c>
      <c r="C4" s="51">
        <f ca="1">HLOOKUP($B4, 'F-Class_NoSCR_Filtered'!$G$5:$M$38, 8, FALSE)</f>
        <v>10230</v>
      </c>
      <c r="D4" s="51">
        <f ca="1">HLOOKUP($B4, 'F-Class_NoSCR_Filtered'!$G$5:$M$38, 9, FALSE)</f>
        <v>9880</v>
      </c>
      <c r="E4" s="272">
        <f ca="1">HLOOKUP($B4, 'F-Class_NoSCR_Filtered'!$G$5:$M$38, 32, FALSE)</f>
        <v>0.9</v>
      </c>
      <c r="F4" s="272">
        <f ca="1">HLOOKUP($B4, 'F-Class_NoSCR_Filtered'!$G$5:$M$38, 33, FALSE)</f>
        <v>8</v>
      </c>
      <c r="G4" s="272">
        <f ca="1">HLOOKUP($B4, 'F-Class_NoSCR_Filtered'!$G$5:$M$38, 4, FALSE)</f>
        <v>215.5</v>
      </c>
      <c r="H4" s="272">
        <f ca="1">HLOOKUP($B4, 'F-Class_NoSCR_Filtered'!$G$5:$M$38, 5, FALSE)</f>
        <v>226.9</v>
      </c>
      <c r="I4" s="272">
        <f>HLOOKUP($B4, 'F-Class_NoSCR_Filtered'!$G$5:$M$38, 29, FALSE)</f>
        <v>325</v>
      </c>
      <c r="J4" s="272">
        <f ca="1">HLOOKUP($B4, 'F-Class_NoSCR_Filtered'!$G$5:$M$38, 34, FALSE)</f>
        <v>9500</v>
      </c>
      <c r="K4" s="272">
        <f ca="1">HLOOKUP($B4, 'F-Class_NoSCR_Filtered'!$G$5:$M$38, 12, FALSE)</f>
        <v>79.900000000000006</v>
      </c>
      <c r="L4" s="272">
        <f ca="1">HLOOKUP($B4, 'F-Class_NoSCR_Filtered'!$G$5:$M$38, 13, FALSE)</f>
        <v>4.5</v>
      </c>
      <c r="M4" s="272">
        <f ca="1">HLOOKUP($B4, 'F-Class_NoSCR_Filtered'!$G$5:$M$38, 14, FALSE)</f>
        <v>270000</v>
      </c>
      <c r="N4" s="272">
        <f ca="1">HLOOKUP($B4, 'F-Class_NoSCR_Filtered'!$G$5:$M$38, 16, FALSE)</f>
        <v>77.166373411534707</v>
      </c>
      <c r="O4" s="272">
        <f ca="1">HLOOKUP($B4, 'F-Class_NoSCR_Filtered'!$G$5:$M$38, 17, FALSE)</f>
        <v>4.3460410557184748</v>
      </c>
      <c r="P4" s="272">
        <f ca="1">HLOOKUP($B4, 'F-Class_NoSCR_Filtered'!$G$5:$M$38, 18, FALSE)</f>
        <v>260762.46334310851</v>
      </c>
      <c r="Q4" s="272">
        <f ca="1">HLOOKUP($B4, 'F-Class_NoSCR_Filtered'!$G$5:$M$38, 20, FALSE)</f>
        <v>430</v>
      </c>
      <c r="R4" s="272">
        <f ca="1">HLOOKUP($B4, 'F-Class_NoSCR_Filtered'!$G$5:$M$38, 21, FALSE)</f>
        <v>3.4</v>
      </c>
      <c r="S4" s="272">
        <f ca="1">HLOOKUP($B4, 'F-Class_NoSCR_Filtered'!$G$5:$M$38, 22, FALSE)</f>
        <v>360000</v>
      </c>
      <c r="T4" s="272">
        <f ca="1">HLOOKUP($B4, 'F-Class_NoSCR_Filtered'!$G$5:$M$38, 24, FALSE)</f>
        <v>415.28836754643208</v>
      </c>
      <c r="U4" s="272">
        <f ca="1">HLOOKUP($B4, 'F-Class_NoSCR_Filtered'!$G$5:$M$38, 25, FALSE)</f>
        <v>3.2836754643206256</v>
      </c>
      <c r="V4" s="272">
        <f ca="1">HLOOKUP($B4, 'F-Class_NoSCR_Filtered'!$G$5:$M$38, 26, FALSE)</f>
        <v>347683.28445747803</v>
      </c>
      <c r="W4" s="272">
        <f ca="1">1-HLOOKUP($B4, 'F-Class_NoSCR_Filtered'!$G$5:$M$38, 30, FALSE)</f>
        <v>0.95660000000000001</v>
      </c>
      <c r="X4" s="51"/>
      <c r="Y4" s="51"/>
      <c r="Z4" s="50"/>
      <c r="AA4" s="50"/>
    </row>
    <row r="5" spans="1:27" x14ac:dyDescent="0.2">
      <c r="A5" s="10" t="s">
        <v>38</v>
      </c>
      <c r="B5" s="46" t="s">
        <v>23</v>
      </c>
      <c r="C5" s="51">
        <f ca="1">HLOOKUP($B5, 'F-Class_NoSCR_Filtered'!$G$5:$M$38, 8, FALSE)</f>
        <v>10230</v>
      </c>
      <c r="D5" s="51">
        <f ca="1">HLOOKUP($B5, 'F-Class_NoSCR_Filtered'!$G$5:$M$38, 9, FALSE)</f>
        <v>9880</v>
      </c>
      <c r="E5" s="272">
        <f ca="1">HLOOKUP($B5, 'F-Class_NoSCR_Filtered'!$G$5:$M$38, 32, FALSE)</f>
        <v>0.9</v>
      </c>
      <c r="F5" s="272">
        <f ca="1">HLOOKUP($B5, 'F-Class_NoSCR_Filtered'!$G$5:$M$38, 33, FALSE)</f>
        <v>8</v>
      </c>
      <c r="G5" s="272">
        <f ca="1">HLOOKUP($B5, 'F-Class_NoSCR_Filtered'!$G$5:$M$38, 4, FALSE)</f>
        <v>215.4</v>
      </c>
      <c r="H5" s="272">
        <f ca="1">HLOOKUP($B5, 'F-Class_NoSCR_Filtered'!$G$5:$M$38, 5, FALSE)</f>
        <v>226.8</v>
      </c>
      <c r="I5" s="272">
        <f>HLOOKUP($B5, 'F-Class_NoSCR_Filtered'!$G$5:$M$38, 29, FALSE)</f>
        <v>325</v>
      </c>
      <c r="J5" s="272">
        <f ca="1">HLOOKUP($B5, 'F-Class_NoSCR_Filtered'!$G$5:$M$38, 34, FALSE)</f>
        <v>9500</v>
      </c>
      <c r="K5" s="272">
        <f ca="1">HLOOKUP($B5, 'F-Class_NoSCR_Filtered'!$G$5:$M$38, 12, FALSE)</f>
        <v>79.900000000000006</v>
      </c>
      <c r="L5" s="272">
        <f ca="1">HLOOKUP($B5, 'F-Class_NoSCR_Filtered'!$G$5:$M$38, 13, FALSE)</f>
        <v>4.5</v>
      </c>
      <c r="M5" s="272">
        <f ca="1">HLOOKUP($B5, 'F-Class_NoSCR_Filtered'!$G$5:$M$38, 14, FALSE)</f>
        <v>270000</v>
      </c>
      <c r="N5" s="272">
        <f ca="1">HLOOKUP($B5, 'F-Class_NoSCR_Filtered'!$G$5:$M$38, 16, FALSE)</f>
        <v>77.166373411534707</v>
      </c>
      <c r="O5" s="272">
        <f ca="1">HLOOKUP($B5, 'F-Class_NoSCR_Filtered'!$G$5:$M$38, 17, FALSE)</f>
        <v>4.3460410557184748</v>
      </c>
      <c r="P5" s="272">
        <f ca="1">HLOOKUP($B5, 'F-Class_NoSCR_Filtered'!$G$5:$M$38, 18, FALSE)</f>
        <v>260762.46334310851</v>
      </c>
      <c r="Q5" s="272">
        <f ca="1">HLOOKUP($B5, 'F-Class_NoSCR_Filtered'!$G$5:$M$38, 20, FALSE)</f>
        <v>430</v>
      </c>
      <c r="R5" s="272">
        <f ca="1">HLOOKUP($B5, 'F-Class_NoSCR_Filtered'!$G$5:$M$38, 21, FALSE)</f>
        <v>3.4</v>
      </c>
      <c r="S5" s="272">
        <f ca="1">HLOOKUP($B5, 'F-Class_NoSCR_Filtered'!$G$5:$M$38, 22, FALSE)</f>
        <v>360000</v>
      </c>
      <c r="T5" s="272">
        <f ca="1">HLOOKUP($B5, 'F-Class_NoSCR_Filtered'!$G$5:$M$38, 24, FALSE)</f>
        <v>415.28836754643208</v>
      </c>
      <c r="U5" s="272">
        <f ca="1">HLOOKUP($B5, 'F-Class_NoSCR_Filtered'!$G$5:$M$38, 25, FALSE)</f>
        <v>3.2836754643206256</v>
      </c>
      <c r="V5" s="272">
        <f ca="1">HLOOKUP($B5, 'F-Class_NoSCR_Filtered'!$G$5:$M$38, 26, FALSE)</f>
        <v>347683.28445747803</v>
      </c>
      <c r="W5" s="272">
        <f ca="1">1-HLOOKUP($B5, 'F-Class_NoSCR_Filtered'!$G$5:$M$38, 30, FALSE)</f>
        <v>0.95660000000000001</v>
      </c>
      <c r="X5" s="51"/>
      <c r="Y5" s="51"/>
      <c r="Z5" s="50"/>
      <c r="AA5" s="50"/>
    </row>
    <row r="6" spans="1:27" x14ac:dyDescent="0.2">
      <c r="A6" s="10" t="s">
        <v>32</v>
      </c>
      <c r="B6" s="46" t="s">
        <v>4</v>
      </c>
      <c r="C6" s="51">
        <f ca="1">HLOOKUP($B6, 'F-Class_NoSCR_Filtered'!$G$5:$M$38, 8, FALSE)</f>
        <v>10220</v>
      </c>
      <c r="D6" s="51">
        <f ca="1">HLOOKUP($B6, 'F-Class_NoSCR_Filtered'!$G$5:$M$38, 9, FALSE)</f>
        <v>9870</v>
      </c>
      <c r="E6" s="272">
        <f ca="1">HLOOKUP($B6, 'F-Class_NoSCR_Filtered'!$G$5:$M$38, 32, FALSE)</f>
        <v>0.9</v>
      </c>
      <c r="F6" s="272">
        <f ca="1">HLOOKUP($B6, 'F-Class_NoSCR_Filtered'!$G$5:$M$38, 33, FALSE)</f>
        <v>8</v>
      </c>
      <c r="G6" s="272">
        <f ca="1">HLOOKUP($B6, 'F-Class_NoSCR_Filtered'!$G$5:$M$38, 4, FALSE)</f>
        <v>215.2</v>
      </c>
      <c r="H6" s="272">
        <f ca="1">HLOOKUP($B6, 'F-Class_NoSCR_Filtered'!$G$5:$M$38, 5, FALSE)</f>
        <v>226.5</v>
      </c>
      <c r="I6" s="272">
        <f>HLOOKUP($B6, 'F-Class_NoSCR_Filtered'!$G$5:$M$38, 29, FALSE)</f>
        <v>325</v>
      </c>
      <c r="J6" s="272">
        <f ca="1">HLOOKUP($B6, 'F-Class_NoSCR_Filtered'!$G$5:$M$38, 34, FALSE)</f>
        <v>9500</v>
      </c>
      <c r="K6" s="272">
        <f ca="1">HLOOKUP($B6, 'F-Class_NoSCR_Filtered'!$G$5:$M$38, 12, FALSE)</f>
        <v>79.900000000000006</v>
      </c>
      <c r="L6" s="272">
        <f ca="1">HLOOKUP($B6, 'F-Class_NoSCR_Filtered'!$G$5:$M$38, 13, FALSE)</f>
        <v>4.5</v>
      </c>
      <c r="M6" s="272">
        <f ca="1">HLOOKUP($B6, 'F-Class_NoSCR_Filtered'!$G$5:$M$38, 14, FALSE)</f>
        <v>270000</v>
      </c>
      <c r="N6" s="272">
        <f ca="1">HLOOKUP($B6, 'F-Class_NoSCR_Filtered'!$G$5:$M$38, 16, FALSE)</f>
        <v>77.163698630136992</v>
      </c>
      <c r="O6" s="272">
        <f ca="1">HLOOKUP($B6, 'F-Class_NoSCR_Filtered'!$G$5:$M$38, 17, FALSE)</f>
        <v>4.345890410958904</v>
      </c>
      <c r="P6" s="272">
        <f ca="1">HLOOKUP($B6, 'F-Class_NoSCR_Filtered'!$G$5:$M$38, 18, FALSE)</f>
        <v>260753.42465753425</v>
      </c>
      <c r="Q6" s="272">
        <f ca="1">HLOOKUP($B6, 'F-Class_NoSCR_Filtered'!$G$5:$M$38, 20, FALSE)</f>
        <v>430</v>
      </c>
      <c r="R6" s="272">
        <f ca="1">HLOOKUP($B6, 'F-Class_NoSCR_Filtered'!$G$5:$M$38, 21, FALSE)</f>
        <v>3.4</v>
      </c>
      <c r="S6" s="272">
        <f ca="1">HLOOKUP($B6, 'F-Class_NoSCR_Filtered'!$G$5:$M$38, 22, FALSE)</f>
        <v>360000</v>
      </c>
      <c r="T6" s="272">
        <f ca="1">HLOOKUP($B6, 'F-Class_NoSCR_Filtered'!$G$5:$M$38, 24, FALSE)</f>
        <v>415.27397260273972</v>
      </c>
      <c r="U6" s="272">
        <f ca="1">HLOOKUP($B6, 'F-Class_NoSCR_Filtered'!$G$5:$M$38, 25, FALSE)</f>
        <v>3.2835616438356166</v>
      </c>
      <c r="V6" s="272">
        <f ca="1">HLOOKUP($B6, 'F-Class_NoSCR_Filtered'!$G$5:$M$38, 26, FALSE)</f>
        <v>347671.23287671234</v>
      </c>
      <c r="W6" s="272">
        <f ca="1">1-HLOOKUP($B6, 'F-Class_NoSCR_Filtered'!$G$5:$M$38, 30, FALSE)</f>
        <v>0.95660000000000001</v>
      </c>
      <c r="X6" s="51"/>
      <c r="Y6" s="51"/>
      <c r="Z6" s="50"/>
      <c r="AA6" s="50"/>
    </row>
    <row r="7" spans="1:27" x14ac:dyDescent="0.2">
      <c r="A7" s="10" t="s">
        <v>31</v>
      </c>
      <c r="B7" s="46" t="s">
        <v>5</v>
      </c>
      <c r="C7" s="51">
        <f ca="1">HLOOKUP($B7, 'F-Class_NoSCR_Filtered'!$G$5:$M$38, 8, FALSE)</f>
        <v>10210</v>
      </c>
      <c r="D7" s="51">
        <f ca="1">HLOOKUP($B7, 'F-Class_NoSCR_Filtered'!$G$5:$M$38, 9, FALSE)</f>
        <v>9870</v>
      </c>
      <c r="E7" s="272">
        <f ca="1">HLOOKUP($B7, 'F-Class_NoSCR_Filtered'!$G$5:$M$38, 32, FALSE)</f>
        <v>0.9</v>
      </c>
      <c r="F7" s="272">
        <f ca="1">HLOOKUP($B7, 'F-Class_NoSCR_Filtered'!$G$5:$M$38, 33, FALSE)</f>
        <v>8</v>
      </c>
      <c r="G7" s="272">
        <f ca="1">HLOOKUP($B7, 'F-Class_NoSCR_Filtered'!$G$5:$M$38, 4, FALSE)</f>
        <v>214.3</v>
      </c>
      <c r="H7" s="272">
        <f ca="1">HLOOKUP($B7, 'F-Class_NoSCR_Filtered'!$G$5:$M$38, 5, FALSE)</f>
        <v>225.4</v>
      </c>
      <c r="I7" s="272">
        <f>HLOOKUP($B7, 'F-Class_NoSCR_Filtered'!$G$5:$M$38, 29, FALSE)</f>
        <v>325</v>
      </c>
      <c r="J7" s="272">
        <f ca="1">HLOOKUP($B7, 'F-Class_NoSCR_Filtered'!$G$5:$M$38, 34, FALSE)</f>
        <v>9500</v>
      </c>
      <c r="K7" s="272">
        <f ca="1">HLOOKUP($B7, 'F-Class_NoSCR_Filtered'!$G$5:$M$38, 12, FALSE)</f>
        <v>79.900000000000006</v>
      </c>
      <c r="L7" s="272">
        <f ca="1">HLOOKUP($B7, 'F-Class_NoSCR_Filtered'!$G$5:$M$38, 13, FALSE)</f>
        <v>4.5</v>
      </c>
      <c r="M7" s="272">
        <f ca="1">HLOOKUP($B7, 'F-Class_NoSCR_Filtered'!$G$5:$M$38, 14, FALSE)</f>
        <v>271200</v>
      </c>
      <c r="N7" s="272">
        <f ca="1">HLOOKUP($B7, 'F-Class_NoSCR_Filtered'!$G$5:$M$38, 16, FALSE)</f>
        <v>77.239275220372178</v>
      </c>
      <c r="O7" s="272">
        <f ca="1">HLOOKUP($B7, 'F-Class_NoSCR_Filtered'!$G$5:$M$38, 17, FALSE)</f>
        <v>4.3501469147894225</v>
      </c>
      <c r="P7" s="272">
        <f ca="1">HLOOKUP($B7, 'F-Class_NoSCR_Filtered'!$G$5:$M$38, 18, FALSE)</f>
        <v>262168.85406464251</v>
      </c>
      <c r="Q7" s="272">
        <f ca="1">HLOOKUP($B7, 'F-Class_NoSCR_Filtered'!$G$5:$M$38, 20, FALSE)</f>
        <v>430</v>
      </c>
      <c r="R7" s="272">
        <f ca="1">HLOOKUP($B7, 'F-Class_NoSCR_Filtered'!$G$5:$M$38, 21, FALSE)</f>
        <v>3.4</v>
      </c>
      <c r="S7" s="272">
        <f ca="1">HLOOKUP($B7, 'F-Class_NoSCR_Filtered'!$G$5:$M$38, 22, FALSE)</f>
        <v>361600</v>
      </c>
      <c r="T7" s="272">
        <f ca="1">HLOOKUP($B7, 'F-Class_NoSCR_Filtered'!$G$5:$M$38, 24, FALSE)</f>
        <v>415.68070519098922</v>
      </c>
      <c r="U7" s="272">
        <f ca="1">HLOOKUP($B7, 'F-Class_NoSCR_Filtered'!$G$5:$M$38, 25, FALSE)</f>
        <v>3.2867776689520078</v>
      </c>
      <c r="V7" s="272">
        <f ca="1">HLOOKUP($B7, 'F-Class_NoSCR_Filtered'!$G$5:$M$38, 26, FALSE)</f>
        <v>349558.47208619001</v>
      </c>
      <c r="W7" s="272">
        <f ca="1">1-HLOOKUP($B7, 'F-Class_NoSCR_Filtered'!$G$5:$M$38, 30, FALSE)</f>
        <v>0.95660000000000001</v>
      </c>
      <c r="X7" s="51"/>
      <c r="Y7" s="51"/>
      <c r="Z7" s="50"/>
      <c r="AA7" s="50"/>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W7"/>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37</v>
      </c>
      <c r="B1" s="47" t="s">
        <v>55</v>
      </c>
      <c r="C1" s="49" t="s">
        <v>327</v>
      </c>
      <c r="D1" s="49" t="s">
        <v>328</v>
      </c>
      <c r="E1" s="49" t="s">
        <v>329</v>
      </c>
      <c r="F1" s="49" t="s">
        <v>330</v>
      </c>
      <c r="G1" s="49" t="s">
        <v>425</v>
      </c>
      <c r="H1" s="49" t="s">
        <v>426</v>
      </c>
      <c r="I1" s="49" t="s">
        <v>331</v>
      </c>
      <c r="J1" s="48" t="s">
        <v>435</v>
      </c>
      <c r="K1" s="49" t="s">
        <v>332</v>
      </c>
      <c r="L1" s="49" t="s">
        <v>333</v>
      </c>
      <c r="M1" s="49" t="s">
        <v>334</v>
      </c>
      <c r="N1" s="49" t="s">
        <v>335</v>
      </c>
      <c r="O1" s="49" t="s">
        <v>336</v>
      </c>
      <c r="P1" s="49" t="s">
        <v>337</v>
      </c>
      <c r="Q1" s="49" t="s">
        <v>338</v>
      </c>
      <c r="R1" s="49" t="s">
        <v>339</v>
      </c>
      <c r="S1" s="49" t="s">
        <v>340</v>
      </c>
      <c r="T1" s="49" t="s">
        <v>341</v>
      </c>
      <c r="U1" s="49" t="s">
        <v>342</v>
      </c>
      <c r="V1" s="49" t="s">
        <v>343</v>
      </c>
      <c r="W1" s="49" t="s">
        <v>344</v>
      </c>
    </row>
    <row r="2" spans="1:23" x14ac:dyDescent="0.2">
      <c r="A2" s="10" t="s">
        <v>34</v>
      </c>
      <c r="B2" s="46" t="s">
        <v>3</v>
      </c>
      <c r="C2" s="51">
        <f ca="1">HLOOKUP($B2, 'J-Class25ppm_SCR_Filtered'!$G$5:$L$38, 8, FALSE)</f>
        <v>9390</v>
      </c>
      <c r="D2" s="51">
        <f ca="1">HLOOKUP($B2, 'J-Class25ppm_SCR_Filtered'!$G$5:$L$38, 9, FALSE)</f>
        <v>9290</v>
      </c>
      <c r="E2" s="272">
        <f ca="1">HLOOKUP($B2, 'J-Class25ppm_SCR_Filtered'!$G$5:$L$38, 32, FALSE)</f>
        <v>1.27</v>
      </c>
      <c r="F2" s="272">
        <f ca="1">HLOOKUP($B2, 'J-Class25ppm_SCR_Filtered'!$G$5:$L$38, 33, FALSE)</f>
        <v>8.8000000000000007</v>
      </c>
      <c r="G2" s="272">
        <f ca="1">HLOOKUP($B2, 'J-Class25ppm_SCR_Filtered'!$G$5:$L$38, 4, FALSE)</f>
        <v>357.2</v>
      </c>
      <c r="H2" s="272">
        <f ca="1">HLOOKUP($B2, 'J-Class25ppm_SCR_Filtered'!$G$5:$L$38, 5, FALSE)</f>
        <v>372.2</v>
      </c>
      <c r="I2" s="272">
        <f>HLOOKUP($B2, 'J-Class25ppm_SCR_Filtered'!$G$5:$L$38, 29, FALSE)</f>
        <v>490</v>
      </c>
      <c r="J2" s="272">
        <f ca="1">HLOOKUP($B2, 'J-Class25ppm_SCR_Filtered'!$G$5:$L$38, 34, FALSE)</f>
        <v>16200</v>
      </c>
      <c r="K2" s="272">
        <f ca="1">HLOOKUP($B2, 'J-Class25ppm_SCR_Filtered'!$G$5:$L$38, 12, FALSE)</f>
        <v>26.4</v>
      </c>
      <c r="L2" s="272">
        <f ca="1">HLOOKUP($B2, 'J-Class25ppm_SCR_Filtered'!$G$5:$L$38, 13, FALSE)</f>
        <v>6.8</v>
      </c>
      <c r="M2" s="272">
        <f ca="1">HLOOKUP($B2, 'J-Class25ppm_SCR_Filtered'!$G$5:$L$38, 14, FALSE)</f>
        <v>409200</v>
      </c>
      <c r="N2" s="272">
        <f ca="1">HLOOKUP($B2, 'J-Class25ppm_SCR_Filtered'!$G$5:$L$38, 16, FALSE)</f>
        <v>26.118849840255592</v>
      </c>
      <c r="O2" s="272">
        <f ca="1">HLOOKUP($B2, 'J-Class25ppm_SCR_Filtered'!$G$5:$L$38, 17, FALSE)</f>
        <v>6.7275825346112885</v>
      </c>
      <c r="P2" s="272">
        <f ca="1">HLOOKUP($B2, 'J-Class25ppm_SCR_Filtered'!$G$5:$L$38, 18, FALSE)</f>
        <v>404842.17252396164</v>
      </c>
      <c r="Q2" s="272">
        <f ca="1">HLOOKUP($B2, 'J-Class25ppm_SCR_Filtered'!$G$5:$L$38, 20, FALSE)</f>
        <v>96</v>
      </c>
      <c r="R2" s="272">
        <f ca="1">HLOOKUP($B2, 'J-Class25ppm_SCR_Filtered'!$G$5:$L$38, 21, FALSE)</f>
        <v>5.2</v>
      </c>
      <c r="S2" s="272">
        <f ca="1">HLOOKUP($B2, 'J-Class25ppm_SCR_Filtered'!$G$5:$L$38, 22, FALSE)</f>
        <v>545600</v>
      </c>
      <c r="T2" s="272">
        <f ca="1">HLOOKUP($B2, 'J-Class25ppm_SCR_Filtered'!$G$5:$L$38, 24, FALSE)</f>
        <v>94.977635782747598</v>
      </c>
      <c r="U2" s="272">
        <f ca="1">HLOOKUP($B2, 'J-Class25ppm_SCR_Filtered'!$G$5:$L$38, 25, FALSE)</f>
        <v>5.1446219382321621</v>
      </c>
      <c r="V2" s="272">
        <f ca="1">HLOOKUP($B2, 'J-Class25ppm_SCR_Filtered'!$G$5:$L$38, 26, FALSE)</f>
        <v>539789.56336528226</v>
      </c>
      <c r="W2" s="272">
        <f ca="1">1-HLOOKUP($B2, 'J-Class25ppm_SCR_Filtered'!$G$5:$L$38, 30, FALSE)</f>
        <v>0.95660000000000001</v>
      </c>
    </row>
    <row r="3" spans="1:23" x14ac:dyDescent="0.2">
      <c r="A3" s="10" t="s">
        <v>33</v>
      </c>
      <c r="B3" s="46" t="s">
        <v>30</v>
      </c>
      <c r="C3" s="51">
        <f ca="1">HLOOKUP($B3, 'J-Class25ppm_SCR_Filtered'!$G$5:$L$38, 8, FALSE)</f>
        <v>9380</v>
      </c>
      <c r="D3" s="51">
        <f ca="1">HLOOKUP($B3, 'J-Class25ppm_SCR_Filtered'!$G$5:$L$38, 9, FALSE)</f>
        <v>9300</v>
      </c>
      <c r="E3" s="272">
        <f ca="1">HLOOKUP($B3, 'J-Class25ppm_SCR_Filtered'!$G$5:$L$38, 32, FALSE)</f>
        <v>1.39</v>
      </c>
      <c r="F3" s="272">
        <f ca="1">HLOOKUP($B3, 'J-Class25ppm_SCR_Filtered'!$G$5:$L$38, 33, FALSE)</f>
        <v>11.44</v>
      </c>
      <c r="G3" s="272">
        <f ca="1">HLOOKUP($B3, 'J-Class25ppm_SCR_Filtered'!$G$5:$L$38, 4, FALSE)</f>
        <v>357.4</v>
      </c>
      <c r="H3" s="272">
        <f ca="1">HLOOKUP($B3, 'J-Class25ppm_SCR_Filtered'!$G$5:$L$38, 5, FALSE)</f>
        <v>371.6</v>
      </c>
      <c r="I3" s="272">
        <f>HLOOKUP($B3, 'J-Class25ppm_SCR_Filtered'!$G$5:$L$38, 29, FALSE)</f>
        <v>490</v>
      </c>
      <c r="J3" s="272">
        <f ca="1">HLOOKUP($B3, 'J-Class25ppm_SCR_Filtered'!$G$5:$L$38, 34, FALSE)</f>
        <v>16200</v>
      </c>
      <c r="K3" s="272">
        <f ca="1">HLOOKUP($B3, 'J-Class25ppm_SCR_Filtered'!$G$5:$L$38, 12, FALSE)</f>
        <v>26.4</v>
      </c>
      <c r="L3" s="272">
        <f ca="1">HLOOKUP($B3, 'J-Class25ppm_SCR_Filtered'!$G$5:$L$38, 13, FALSE)</f>
        <v>6.8</v>
      </c>
      <c r="M3" s="272">
        <f ca="1">HLOOKUP($B3, 'J-Class25ppm_SCR_Filtered'!$G$5:$L$38, 14, FALSE)</f>
        <v>409200</v>
      </c>
      <c r="N3" s="272">
        <f ca="1">HLOOKUP($B3, 'J-Class25ppm_SCR_Filtered'!$G$5:$L$38, 16, FALSE)</f>
        <v>26.174840085287848</v>
      </c>
      <c r="O3" s="272">
        <f ca="1">HLOOKUP($B3, 'J-Class25ppm_SCR_Filtered'!$G$5:$L$38, 17, FALSE)</f>
        <v>6.7420042643923237</v>
      </c>
      <c r="P3" s="272">
        <f ca="1">HLOOKUP($B3, 'J-Class25ppm_SCR_Filtered'!$G$5:$L$38, 18, FALSE)</f>
        <v>405710.0213219616</v>
      </c>
      <c r="Q3" s="272">
        <f ca="1">HLOOKUP($B3, 'J-Class25ppm_SCR_Filtered'!$G$5:$L$38, 20, FALSE)</f>
        <v>96</v>
      </c>
      <c r="R3" s="272">
        <f ca="1">HLOOKUP($B3, 'J-Class25ppm_SCR_Filtered'!$G$5:$L$38, 21, FALSE)</f>
        <v>5.2</v>
      </c>
      <c r="S3" s="272">
        <f ca="1">HLOOKUP($B3, 'J-Class25ppm_SCR_Filtered'!$G$5:$L$38, 22, FALSE)</f>
        <v>545600</v>
      </c>
      <c r="T3" s="272">
        <f ca="1">HLOOKUP($B3, 'J-Class25ppm_SCR_Filtered'!$G$5:$L$38, 24, FALSE)</f>
        <v>95.181236673773981</v>
      </c>
      <c r="U3" s="272">
        <f ca="1">HLOOKUP($B3, 'J-Class25ppm_SCR_Filtered'!$G$5:$L$38, 25, FALSE)</f>
        <v>5.1556503198294239</v>
      </c>
      <c r="V3" s="272">
        <f ca="1">HLOOKUP($B3, 'J-Class25ppm_SCR_Filtered'!$G$5:$L$38, 26, FALSE)</f>
        <v>540946.69509594887</v>
      </c>
      <c r="W3" s="272">
        <f ca="1">1-HLOOKUP($B3, 'J-Class25ppm_SCR_Filtered'!$G$5:$L$38, 30, FALSE)</f>
        <v>0.95660000000000001</v>
      </c>
    </row>
    <row r="4" spans="1:23" x14ac:dyDescent="0.2">
      <c r="A4" s="10" t="s">
        <v>56</v>
      </c>
      <c r="B4" s="46" t="s">
        <v>22</v>
      </c>
      <c r="C4" s="51">
        <f ca="1">HLOOKUP($B4, 'J-Class25ppm_SCR_Filtered'!$G$5:$L$38, 8, FALSE)</f>
        <v>9390</v>
      </c>
      <c r="D4" s="51">
        <f ca="1">HLOOKUP($B4, 'J-Class25ppm_SCR_Filtered'!$G$5:$L$38, 9, FALSE)</f>
        <v>9280</v>
      </c>
      <c r="E4" s="272">
        <f ca="1">HLOOKUP($B4, 'J-Class25ppm_SCR_Filtered'!$G$5:$L$38, 32, FALSE)</f>
        <v>1.27</v>
      </c>
      <c r="F4" s="272">
        <f ca="1">HLOOKUP($B4, 'J-Class25ppm_SCR_Filtered'!$G$5:$L$38, 33, FALSE)</f>
        <v>8.8000000000000007</v>
      </c>
      <c r="G4" s="272">
        <f ca="1">HLOOKUP($B4, 'J-Class25ppm_SCR_Filtered'!$G$5:$L$38, 4, FALSE)</f>
        <v>355.1</v>
      </c>
      <c r="H4" s="272">
        <f ca="1">HLOOKUP($B4, 'J-Class25ppm_SCR_Filtered'!$G$5:$L$38, 5, FALSE)</f>
        <v>370.8</v>
      </c>
      <c r="I4" s="272">
        <f>HLOOKUP($B4, 'J-Class25ppm_SCR_Filtered'!$G$5:$L$38, 29, FALSE)</f>
        <v>490</v>
      </c>
      <c r="J4" s="272">
        <f ca="1">HLOOKUP($B4, 'J-Class25ppm_SCR_Filtered'!$G$5:$L$38, 34, FALSE)</f>
        <v>16200</v>
      </c>
      <c r="K4" s="272">
        <f ca="1">HLOOKUP($B4, 'J-Class25ppm_SCR_Filtered'!$G$5:$L$38, 12, FALSE)</f>
        <v>26.4</v>
      </c>
      <c r="L4" s="272">
        <f ca="1">HLOOKUP($B4, 'J-Class25ppm_SCR_Filtered'!$G$5:$L$38, 13, FALSE)</f>
        <v>6.8</v>
      </c>
      <c r="M4" s="272">
        <f ca="1">HLOOKUP($B4, 'J-Class25ppm_SCR_Filtered'!$G$5:$L$38, 14, FALSE)</f>
        <v>406800</v>
      </c>
      <c r="N4" s="272">
        <f ca="1">HLOOKUP($B4, 'J-Class25ppm_SCR_Filtered'!$G$5:$L$38, 16, FALSE)</f>
        <v>26.090734824281149</v>
      </c>
      <c r="O4" s="272">
        <f ca="1">HLOOKUP($B4, 'J-Class25ppm_SCR_Filtered'!$G$5:$L$38, 17, FALSE)</f>
        <v>6.7203407880724173</v>
      </c>
      <c r="P4" s="272">
        <f ca="1">HLOOKUP($B4, 'J-Class25ppm_SCR_Filtered'!$G$5:$L$38, 18, FALSE)</f>
        <v>402034.50479233224</v>
      </c>
      <c r="Q4" s="272">
        <f ca="1">HLOOKUP($B4, 'J-Class25ppm_SCR_Filtered'!$G$5:$L$38, 20, FALSE)</f>
        <v>96</v>
      </c>
      <c r="R4" s="272">
        <f ca="1">HLOOKUP($B4, 'J-Class25ppm_SCR_Filtered'!$G$5:$L$38, 21, FALSE)</f>
        <v>5.2</v>
      </c>
      <c r="S4" s="272">
        <f ca="1">HLOOKUP($B4, 'J-Class25ppm_SCR_Filtered'!$G$5:$L$38, 22, FALSE)</f>
        <v>542400</v>
      </c>
      <c r="T4" s="272">
        <f ca="1">HLOOKUP($B4, 'J-Class25ppm_SCR_Filtered'!$G$5:$L$38, 24, FALSE)</f>
        <v>94.87539936102236</v>
      </c>
      <c r="U4" s="272">
        <f ca="1">HLOOKUP($B4, 'J-Class25ppm_SCR_Filtered'!$G$5:$L$38, 25, FALSE)</f>
        <v>5.1390841320553777</v>
      </c>
      <c r="V4" s="272">
        <f ca="1">HLOOKUP($B4, 'J-Class25ppm_SCR_Filtered'!$G$5:$L$38, 26, FALSE)</f>
        <v>536046.00638977636</v>
      </c>
      <c r="W4" s="272">
        <f ca="1">1-HLOOKUP($B4, 'J-Class25ppm_SCR_Filtered'!$G$5:$L$38, 30, FALSE)</f>
        <v>0.95660000000000001</v>
      </c>
    </row>
    <row r="5" spans="1:23" x14ac:dyDescent="0.2">
      <c r="A5" s="10" t="s">
        <v>38</v>
      </c>
      <c r="B5" s="46" t="s">
        <v>23</v>
      </c>
      <c r="C5" s="51">
        <f ca="1">HLOOKUP($B5, 'J-Class25ppm_SCR_Filtered'!$G$5:$L$38, 8, FALSE)</f>
        <v>9390</v>
      </c>
      <c r="D5" s="51">
        <f ca="1">HLOOKUP($B5, 'J-Class25ppm_SCR_Filtered'!$G$5:$L$38, 9, FALSE)</f>
        <v>9290</v>
      </c>
      <c r="E5" s="272">
        <f ca="1">HLOOKUP($B5, 'J-Class25ppm_SCR_Filtered'!$G$5:$L$38, 32, FALSE)</f>
        <v>1.27</v>
      </c>
      <c r="F5" s="272">
        <f ca="1">HLOOKUP($B5, 'J-Class25ppm_SCR_Filtered'!$G$5:$L$38, 33, FALSE)</f>
        <v>8.8000000000000007</v>
      </c>
      <c r="G5" s="272">
        <f ca="1">HLOOKUP($B5, 'J-Class25ppm_SCR_Filtered'!$G$5:$L$38, 4, FALSE)</f>
        <v>355</v>
      </c>
      <c r="H5" s="272">
        <f ca="1">HLOOKUP($B5, 'J-Class25ppm_SCR_Filtered'!$G$5:$L$38, 5, FALSE)</f>
        <v>370.7</v>
      </c>
      <c r="I5" s="272">
        <f>HLOOKUP($B5, 'J-Class25ppm_SCR_Filtered'!$G$5:$L$38, 29, FALSE)</f>
        <v>490</v>
      </c>
      <c r="J5" s="272">
        <f ca="1">HLOOKUP($B5, 'J-Class25ppm_SCR_Filtered'!$G$5:$L$38, 34, FALSE)</f>
        <v>16200</v>
      </c>
      <c r="K5" s="272">
        <f ca="1">HLOOKUP($B5, 'J-Class25ppm_SCR_Filtered'!$G$5:$L$38, 12, FALSE)</f>
        <v>26.4</v>
      </c>
      <c r="L5" s="272">
        <f ca="1">HLOOKUP($B5, 'J-Class25ppm_SCR_Filtered'!$G$5:$L$38, 13, FALSE)</f>
        <v>6.8</v>
      </c>
      <c r="M5" s="272">
        <f ca="1">HLOOKUP($B5, 'J-Class25ppm_SCR_Filtered'!$G$5:$L$38, 14, FALSE)</f>
        <v>406800</v>
      </c>
      <c r="N5" s="272">
        <f ca="1">HLOOKUP($B5, 'J-Class25ppm_SCR_Filtered'!$G$5:$L$38, 16, FALSE)</f>
        <v>26.118849840255592</v>
      </c>
      <c r="O5" s="272">
        <f ca="1">HLOOKUP($B5, 'J-Class25ppm_SCR_Filtered'!$G$5:$L$38, 17, FALSE)</f>
        <v>6.7275825346112885</v>
      </c>
      <c r="P5" s="272">
        <f ca="1">HLOOKUP($B5, 'J-Class25ppm_SCR_Filtered'!$G$5:$L$38, 18, FALSE)</f>
        <v>402467.73162939295</v>
      </c>
      <c r="Q5" s="272">
        <f ca="1">HLOOKUP($B5, 'J-Class25ppm_SCR_Filtered'!$G$5:$L$38, 20, FALSE)</f>
        <v>96</v>
      </c>
      <c r="R5" s="272">
        <f ca="1">HLOOKUP($B5, 'J-Class25ppm_SCR_Filtered'!$G$5:$L$38, 21, FALSE)</f>
        <v>5.2</v>
      </c>
      <c r="S5" s="272">
        <f ca="1">HLOOKUP($B5, 'J-Class25ppm_SCR_Filtered'!$G$5:$L$38, 22, FALSE)</f>
        <v>542400</v>
      </c>
      <c r="T5" s="272">
        <f ca="1">HLOOKUP($B5, 'J-Class25ppm_SCR_Filtered'!$G$5:$L$38, 24, FALSE)</f>
        <v>94.977635782747598</v>
      </c>
      <c r="U5" s="272">
        <f ca="1">HLOOKUP($B5, 'J-Class25ppm_SCR_Filtered'!$G$5:$L$38, 25, FALSE)</f>
        <v>5.1446219382321621</v>
      </c>
      <c r="V5" s="272">
        <f ca="1">HLOOKUP($B5, 'J-Class25ppm_SCR_Filtered'!$G$5:$L$38, 26, FALSE)</f>
        <v>536623.64217252401</v>
      </c>
      <c r="W5" s="272">
        <f ca="1">1-HLOOKUP($B5, 'J-Class25ppm_SCR_Filtered'!$G$5:$L$38, 30, FALSE)</f>
        <v>0.95660000000000001</v>
      </c>
    </row>
    <row r="6" spans="1:23" x14ac:dyDescent="0.2">
      <c r="A6" s="10" t="s">
        <v>32</v>
      </c>
      <c r="B6" s="46" t="s">
        <v>4</v>
      </c>
      <c r="C6" s="51">
        <f ca="1">HLOOKUP($B6, 'J-Class25ppm_SCR_Filtered'!$G$5:$L$38, 8, FALSE)</f>
        <v>9380</v>
      </c>
      <c r="D6" s="51">
        <f ca="1">HLOOKUP($B6, 'J-Class25ppm_SCR_Filtered'!$G$5:$L$38, 9, FALSE)</f>
        <v>9270</v>
      </c>
      <c r="E6" s="272">
        <f ca="1">HLOOKUP($B6, 'J-Class25ppm_SCR_Filtered'!$G$5:$L$38, 32, FALSE)</f>
        <v>1.27</v>
      </c>
      <c r="F6" s="272">
        <f ca="1">HLOOKUP($B6, 'J-Class25ppm_SCR_Filtered'!$G$5:$L$38, 33, FALSE)</f>
        <v>8.8000000000000007</v>
      </c>
      <c r="G6" s="272">
        <f ca="1">HLOOKUP($B6, 'J-Class25ppm_SCR_Filtered'!$G$5:$L$38, 4, FALSE)</f>
        <v>354.3</v>
      </c>
      <c r="H6" s="272">
        <f ca="1">HLOOKUP($B6, 'J-Class25ppm_SCR_Filtered'!$G$5:$L$38, 5, FALSE)</f>
        <v>369.9</v>
      </c>
      <c r="I6" s="272">
        <f>HLOOKUP($B6, 'J-Class25ppm_SCR_Filtered'!$G$5:$L$38, 29, FALSE)</f>
        <v>490</v>
      </c>
      <c r="J6" s="272">
        <f ca="1">HLOOKUP($B6, 'J-Class25ppm_SCR_Filtered'!$G$5:$L$38, 34, FALSE)</f>
        <v>16200</v>
      </c>
      <c r="K6" s="272">
        <f ca="1">HLOOKUP($B6, 'J-Class25ppm_SCR_Filtered'!$G$5:$L$38, 12, FALSE)</f>
        <v>26.4</v>
      </c>
      <c r="L6" s="272">
        <f ca="1">HLOOKUP($B6, 'J-Class25ppm_SCR_Filtered'!$G$5:$L$38, 13, FALSE)</f>
        <v>6.8</v>
      </c>
      <c r="M6" s="272">
        <f ca="1">HLOOKUP($B6, 'J-Class25ppm_SCR_Filtered'!$G$5:$L$38, 14, FALSE)</f>
        <v>405600</v>
      </c>
      <c r="N6" s="272">
        <f ca="1">HLOOKUP($B6, 'J-Class25ppm_SCR_Filtered'!$G$5:$L$38, 16, FALSE)</f>
        <v>26.090405117270787</v>
      </c>
      <c r="O6" s="272">
        <f ca="1">HLOOKUP($B6, 'J-Class25ppm_SCR_Filtered'!$G$5:$L$38, 17, FALSE)</f>
        <v>6.720255863539446</v>
      </c>
      <c r="P6" s="272">
        <f ca="1">HLOOKUP($B6, 'J-Class25ppm_SCR_Filtered'!$G$5:$L$38, 18, FALSE)</f>
        <v>400843.49680170574</v>
      </c>
      <c r="Q6" s="272">
        <f ca="1">HLOOKUP($B6, 'J-Class25ppm_SCR_Filtered'!$G$5:$L$38, 20, FALSE)</f>
        <v>96</v>
      </c>
      <c r="R6" s="272">
        <f ca="1">HLOOKUP($B6, 'J-Class25ppm_SCR_Filtered'!$G$5:$L$38, 21, FALSE)</f>
        <v>5.0999999999999996</v>
      </c>
      <c r="S6" s="272">
        <f ca="1">HLOOKUP($B6, 'J-Class25ppm_SCR_Filtered'!$G$5:$L$38, 22, FALSE)</f>
        <v>540800</v>
      </c>
      <c r="T6" s="272">
        <f ca="1">HLOOKUP($B6, 'J-Class25ppm_SCR_Filtered'!$G$5:$L$38, 24, FALSE)</f>
        <v>94.874200426439231</v>
      </c>
      <c r="U6" s="272">
        <f ca="1">HLOOKUP($B6, 'J-Class25ppm_SCR_Filtered'!$G$5:$L$38, 25, FALSE)</f>
        <v>5.0401918976545845</v>
      </c>
      <c r="V6" s="272">
        <f ca="1">HLOOKUP($B6, 'J-Class25ppm_SCR_Filtered'!$G$5:$L$38, 26, FALSE)</f>
        <v>534457.99573560769</v>
      </c>
      <c r="W6" s="272">
        <f ca="1">1-HLOOKUP($B6, 'J-Class25ppm_SCR_Filtered'!$G$5:$L$38, 30, FALSE)</f>
        <v>0.95660000000000001</v>
      </c>
    </row>
    <row r="7" spans="1:23" x14ac:dyDescent="0.2">
      <c r="A7" s="10" t="s">
        <v>31</v>
      </c>
      <c r="B7" s="46" t="s">
        <v>5</v>
      </c>
      <c r="C7" s="51">
        <f ca="1">HLOOKUP($B7, 'J-Class25ppm_SCR_Filtered'!$G$5:$L$38, 8, FALSE)</f>
        <v>9380</v>
      </c>
      <c r="D7" s="51">
        <f ca="1">HLOOKUP($B7, 'J-Class25ppm_SCR_Filtered'!$G$5:$L$38, 9, FALSE)</f>
        <v>9270</v>
      </c>
      <c r="E7" s="272">
        <f ca="1">HLOOKUP($B7, 'J-Class25ppm_SCR_Filtered'!$G$5:$L$38, 32, FALSE)</f>
        <v>1.37</v>
      </c>
      <c r="F7" s="272">
        <f ca="1">HLOOKUP($B7, 'J-Class25ppm_SCR_Filtered'!$G$5:$L$38, 33, FALSE)</f>
        <v>8.8000000000000007</v>
      </c>
      <c r="G7" s="272">
        <f ca="1">HLOOKUP($B7, 'J-Class25ppm_SCR_Filtered'!$G$5:$L$38, 4, FALSE)</f>
        <v>352.8</v>
      </c>
      <c r="H7" s="272">
        <f ca="1">HLOOKUP($B7, 'J-Class25ppm_SCR_Filtered'!$G$5:$L$38, 5, FALSE)</f>
        <v>368.1</v>
      </c>
      <c r="I7" s="272">
        <f>HLOOKUP($B7, 'J-Class25ppm_SCR_Filtered'!$G$5:$L$38, 29, FALSE)</f>
        <v>490</v>
      </c>
      <c r="J7" s="272">
        <f ca="1">HLOOKUP($B7, 'J-Class25ppm_SCR_Filtered'!$G$5:$L$38, 34, FALSE)</f>
        <v>16200</v>
      </c>
      <c r="K7" s="272">
        <f ca="1">HLOOKUP($B7, 'J-Class25ppm_SCR_Filtered'!$G$5:$L$38, 12, FALSE)</f>
        <v>26.4</v>
      </c>
      <c r="L7" s="272">
        <f ca="1">HLOOKUP($B7, 'J-Class25ppm_SCR_Filtered'!$G$5:$L$38, 13, FALSE)</f>
        <v>6.8</v>
      </c>
      <c r="M7" s="272">
        <f ca="1">HLOOKUP($B7, 'J-Class25ppm_SCR_Filtered'!$G$5:$L$38, 14, FALSE)</f>
        <v>408000</v>
      </c>
      <c r="N7" s="272">
        <f ca="1">HLOOKUP($B7, 'J-Class25ppm_SCR_Filtered'!$G$5:$L$38, 16, FALSE)</f>
        <v>26.090405117270787</v>
      </c>
      <c r="O7" s="272">
        <f ca="1">HLOOKUP($B7, 'J-Class25ppm_SCR_Filtered'!$G$5:$L$38, 17, FALSE)</f>
        <v>6.720255863539446</v>
      </c>
      <c r="P7" s="272">
        <f ca="1">HLOOKUP($B7, 'J-Class25ppm_SCR_Filtered'!$G$5:$L$38, 18, FALSE)</f>
        <v>403215.35181236675</v>
      </c>
      <c r="Q7" s="272">
        <f ca="1">HLOOKUP($B7, 'J-Class25ppm_SCR_Filtered'!$G$5:$L$38, 20, FALSE)</f>
        <v>96</v>
      </c>
      <c r="R7" s="272">
        <f ca="1">HLOOKUP($B7, 'J-Class25ppm_SCR_Filtered'!$G$5:$L$38, 21, FALSE)</f>
        <v>5.2</v>
      </c>
      <c r="S7" s="272">
        <f ca="1">HLOOKUP($B7, 'J-Class25ppm_SCR_Filtered'!$G$5:$L$38, 22, FALSE)</f>
        <v>544000</v>
      </c>
      <c r="T7" s="272">
        <f ca="1">HLOOKUP($B7, 'J-Class25ppm_SCR_Filtered'!$G$5:$L$38, 24, FALSE)</f>
        <v>94.874200426439231</v>
      </c>
      <c r="U7" s="272">
        <f ca="1">HLOOKUP($B7, 'J-Class25ppm_SCR_Filtered'!$G$5:$L$38, 25, FALSE)</f>
        <v>5.1390191897654587</v>
      </c>
      <c r="V7" s="272">
        <f ca="1">HLOOKUP($B7, 'J-Class25ppm_SCR_Filtered'!$G$5:$L$38, 26, FALSE)</f>
        <v>537620.46908315562</v>
      </c>
      <c r="W7" s="272">
        <f ca="1">1-HLOOKUP($B7, 'J-Class25ppm_SCR_Filtered'!$G$5:$L$38, 30, FALSE)</f>
        <v>0.95660000000000001</v>
      </c>
    </row>
  </sheetData>
  <pageMargins left="0.7" right="0.7" top="0.75" bottom="0.75" header="0.3" footer="0.3"/>
  <pageSetup scale="59" fitToWidth="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8</vt:i4>
      </vt:variant>
    </vt:vector>
  </HeadingPairs>
  <TitlesOfParts>
    <vt:vector size="38" baseType="lpstr">
      <vt:lpstr>MODEL INPUTS -&gt;</vt:lpstr>
      <vt:lpstr>gen_params_CTs_reserves</vt:lpstr>
      <vt:lpstr>CTs_runtimes_scr</vt:lpstr>
      <vt:lpstr>nox_limits</vt:lpstr>
      <vt:lpstr>tech_params_aero</vt:lpstr>
      <vt:lpstr>tech_params_aero_noscr</vt:lpstr>
      <vt:lpstr>tech_params_f</vt:lpstr>
      <vt:lpstr>tech_params_f_noscr</vt:lpstr>
      <vt:lpstr>tech_params_j25</vt:lpstr>
      <vt:lpstr>tech_params_j25_noscr</vt:lpstr>
      <vt:lpstr>tech_params_j15</vt:lpstr>
      <vt:lpstr>tech_params_j15_noscr</vt:lpstr>
      <vt:lpstr>tech_params_ccj</vt:lpstr>
      <vt:lpstr>FILTERED INPUTS -&gt;</vt:lpstr>
      <vt:lpstr>Aero_NoSCR_Filtered</vt:lpstr>
      <vt:lpstr>Aero_SCR_Filtered</vt:lpstr>
      <vt:lpstr>F-Class_NoSCR_Filtered</vt:lpstr>
      <vt:lpstr>F-Class_SCR_Filtered</vt:lpstr>
      <vt:lpstr>J-Class25ppm_NoSCR_Filtered</vt:lpstr>
      <vt:lpstr>J-Class25ppm_SCR_Filtered</vt:lpstr>
      <vt:lpstr>J-Class15ppm_NoSCR_Filtered</vt:lpstr>
      <vt:lpstr>J-Class15ppm_SCR_Filtered</vt:lpstr>
      <vt:lpstr>J-Class_CC_Filtered</vt:lpstr>
      <vt:lpstr>B&amp;M DATA -&gt;</vt:lpstr>
      <vt:lpstr>Raw_Aeroderivative</vt:lpstr>
      <vt:lpstr>Raw_F-Class</vt:lpstr>
      <vt:lpstr>Raw_J-Class25ppm</vt:lpstr>
      <vt:lpstr>Raw_J-Class15ppm</vt:lpstr>
      <vt:lpstr>Raw_J-Class_CC</vt:lpstr>
      <vt:lpstr>SCR_Limits</vt:lpstr>
      <vt:lpstr>Aero_SCR_Filtered!Print_Area</vt:lpstr>
      <vt:lpstr>'F-Class_NoSCR_Filtered'!Print_Area</vt:lpstr>
      <vt:lpstr>'F-Class_SCR_Filtered'!Print_Area</vt:lpstr>
      <vt:lpstr>'J-Class_CC_Filtered'!Print_Area</vt:lpstr>
      <vt:lpstr>'J-Class15ppm_NoSCR_Filtered'!Print_Area</vt:lpstr>
      <vt:lpstr>'J-Class15ppm_SCR_Filtered'!Print_Area</vt:lpstr>
      <vt:lpstr>'J-Class25ppm_NoSCR_Filtered'!Print_Area</vt:lpstr>
      <vt:lpstr>'J-Class25ppm_SCR_Filtered'!Print_Area</vt:lpstr>
    </vt:vector>
  </TitlesOfParts>
  <Company>Analysis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Ellery, Berk</dc:creator>
  <cp:lastModifiedBy>Downie, Ned</cp:lastModifiedBy>
  <cp:lastPrinted>2016-07-07T19:35:52Z</cp:lastPrinted>
  <dcterms:created xsi:type="dcterms:W3CDTF">2016-02-17T16:35:50Z</dcterms:created>
  <dcterms:modified xsi:type="dcterms:W3CDTF">2020-05-08T17:12:51Z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{AA5891EE-2CCB-4304-9EF3-256D71BE2893}</vt:lpwstr>
  </property>
</Properties>
</file>